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ULTI 2000" sheetId="1" r:id="rId4"/>
  </sheets>
</workbook>
</file>

<file path=xl/comments1.xml><?xml version="1.0" encoding="utf-8"?>
<comments xmlns="http://schemas.openxmlformats.org/spreadsheetml/2006/main">
  <authors>
    <author>Auteur</author>
  </authors>
  <commentList>
    <comment ref="AX298" authorId="0">
      <text>
        <r>
          <rPr>
            <sz val="11"/>
            <color indexed="8"/>
            <rFont val="Helvetica"/>
          </rPr>
          <t>Auteur:
Martin Hildebrand:
pidennys Reiskan mittaus 7.8.03</t>
        </r>
      </text>
    </comment>
  </commentList>
</comments>
</file>

<file path=xl/sharedStrings.xml><?xml version="1.0" encoding="utf-8"?>
<sst xmlns="http://schemas.openxmlformats.org/spreadsheetml/2006/main" uniqueCount="2088">
  <si>
    <t>Rating MULTI 2000</t>
  </si>
  <si>
    <t xml:space="preserve">Association des Multicoques Habitables </t>
  </si>
  <si>
    <t>Président: Didier SAPANEL   409 allée de la Roseraie   06250 MOUGINS      FRANCE      Tel / fax : 04 92 92 85 61</t>
  </si>
  <si>
    <r>
      <rPr>
        <u val="single"/>
        <sz val="10"/>
        <color indexed="11"/>
        <rFont val="Arial"/>
      </rPr>
      <t xml:space="preserve">didier.sapanel@wanadoo.fr </t>
    </r>
  </si>
  <si>
    <t>Conseiller et International: Erik LEROUGE   La Touche   85240 FOUSSAIS-PAYRE    FRANCE    Tel: 02 51 51 46 45</t>
  </si>
  <si>
    <t>Email:</t>
  </si>
  <si>
    <t>erik@lerouge-yachts,com</t>
  </si>
  <si>
    <t xml:space="preserve"> Web:</t>
  </si>
  <si>
    <t>http://www.multicoques-habitables.com/</t>
  </si>
  <si>
    <t>Toutes les dimensions en m, tous les poids en kg, toutes les surfaces en m²</t>
  </si>
  <si>
    <t>Rentrer uniquement les mesures dans les colonnes bleues</t>
  </si>
  <si>
    <t>Rentrer la surface exacte de grand-voile, foc et spis uniquement pour les certificats autodéclarés lorsque ces voiles ne sont pas mesurées par un jaugeur officiel</t>
  </si>
  <si>
    <t>Type</t>
  </si>
  <si>
    <t>Appendices</t>
  </si>
  <si>
    <t>Grand-voile</t>
  </si>
  <si>
    <t>Focs</t>
  </si>
  <si>
    <t>Drifter, corde mi hauteur &lt; 75% bordure</t>
  </si>
  <si>
    <t>Spinnaker SMG &gt;=75% SF</t>
  </si>
  <si>
    <t>Aménagements</t>
  </si>
  <si>
    <t>Type d'hélice</t>
  </si>
  <si>
    <t>Catamaran de sport en solitaire</t>
  </si>
  <si>
    <t>Catamaran de sport en double</t>
  </si>
  <si>
    <t>Catamaran habitable</t>
  </si>
  <si>
    <t>Trimaran habitable</t>
  </si>
  <si>
    <t>Prao</t>
  </si>
  <si>
    <t>Longueur de coque</t>
  </si>
  <si>
    <t>Longueur mesurée à mi franc-bord</t>
  </si>
  <si>
    <t>Largeur maxi</t>
  </si>
  <si>
    <t>Tirant d'eau mesuré pour quille(s) fixe(s)</t>
  </si>
  <si>
    <t>Tirant d'eau mesuré pour dérive(s) pivotante(s)</t>
  </si>
  <si>
    <t>Tirant d'eau mesuré pour dérive(s) sabre(s)</t>
  </si>
  <si>
    <t>Tirant d'eau mesuré pour foil(s)</t>
  </si>
  <si>
    <t>Correction d'appendices</t>
  </si>
  <si>
    <t>Poids mesuré en conditions de jauge</t>
  </si>
  <si>
    <t>Poids jaugé</t>
  </si>
  <si>
    <t>Bordure grand-voile</t>
  </si>
  <si>
    <t>Corde grand-voile 1/4 hauteur</t>
  </si>
  <si>
    <t>Corde grand-voile 1/2 hauteur</t>
  </si>
  <si>
    <t>Corde grand-voile 3/4 hauteur</t>
  </si>
  <si>
    <t>Tétière grand-voile</t>
  </si>
  <si>
    <t>Rond bordure grand-voile</t>
  </si>
  <si>
    <t>Guindant grand-voile</t>
  </si>
  <si>
    <t>Surface de grand-voile auto-déclarée</t>
  </si>
  <si>
    <t>Surface grand-voile mesurée</t>
  </si>
  <si>
    <t>Hauteur du mât</t>
  </si>
  <si>
    <t>Circonférence du mât si rotatif</t>
  </si>
  <si>
    <t>Surface grand-voile jaugée</t>
  </si>
  <si>
    <t>Guindant maximum foc</t>
  </si>
  <si>
    <t>Perpendiculaire maximum foc</t>
  </si>
  <si>
    <t>Surface foc auto-déclarée</t>
  </si>
  <si>
    <t>Surface mesurée foc</t>
  </si>
  <si>
    <t>Mousquetons foc &lt;x&gt;</t>
  </si>
  <si>
    <t>Circonférence étai creux</t>
  </si>
  <si>
    <t>Circonférence enrouleur foc</t>
  </si>
  <si>
    <t>Surface jaugée foc</t>
  </si>
  <si>
    <t>Surface maximum tourmentin</t>
  </si>
  <si>
    <t>Hauteur verticale du gréement</t>
  </si>
  <si>
    <t>Hauteur du drifter ou gennaker</t>
  </si>
  <si>
    <t>Bordure du drifter ou gennaker</t>
  </si>
  <si>
    <t>Corde mi-hauteur du drifter ou gennaker</t>
  </si>
  <si>
    <t>Surface déclarée du drifter ou gennaker</t>
  </si>
  <si>
    <t>Surface mesurée du drifter ou gennaker</t>
  </si>
  <si>
    <t>Point d'amure drifter ou spinnaker en avant de l'étrave</t>
  </si>
  <si>
    <t>Correction de tangon</t>
  </si>
  <si>
    <t>Surface jaugée drifter</t>
  </si>
  <si>
    <t>Bordure spinnaker</t>
  </si>
  <si>
    <t>Guindant spinnaker</t>
  </si>
  <si>
    <t>Chute spinnaker</t>
  </si>
  <si>
    <t>Corde mi-hauteur spinnaker</t>
  </si>
  <si>
    <t>Surface spinnaker autodéclarée</t>
  </si>
  <si>
    <t>Surface mesurée spinnaker</t>
  </si>
  <si>
    <t>Surface jaugée spinnaker</t>
  </si>
  <si>
    <t>Nombre maximum de voiles</t>
  </si>
  <si>
    <t>Surface de voilure jaugée</t>
  </si>
  <si>
    <t>Hauteur sous barrots mesurée sur la surface de plancher définie</t>
  </si>
  <si>
    <t>Longueur de plancher minimum sur 0,30m de large</t>
  </si>
  <si>
    <t>Nombre minimum couchettes. 1,90m long. 0,55m large sur 1,25m. 0,45m au pied. 0,55m au dessus coussin</t>
  </si>
  <si>
    <t>Longueur minimum banquette. 0,40m large. 0,30m au dessus plancher. 0,85m hauteur au dessus coussins</t>
  </si>
  <si>
    <t>Hauteur sous barrots de référence</t>
  </si>
  <si>
    <t>Correction de hauteur sous barrots</t>
  </si>
  <si>
    <t>Vitesse mesurée au moteur</t>
  </si>
  <si>
    <t>Nombre d'hélices</t>
  </si>
  <si>
    <t>Hors-bord ou catdrive</t>
  </si>
  <si>
    <t>Pales bec de canard ou pas variable</t>
  </si>
  <si>
    <t>Pales fixes</t>
  </si>
  <si>
    <t>Correction d'hélice</t>
  </si>
  <si>
    <t>Temps compensé = Temps réel x R</t>
  </si>
  <si>
    <t>Equivalence Handicap national</t>
  </si>
  <si>
    <t>Methode de pesée</t>
  </si>
  <si>
    <t>Nom</t>
  </si>
  <si>
    <t>Modèle</t>
  </si>
  <si>
    <t>Architecte</t>
  </si>
  <si>
    <t>Constructeur</t>
  </si>
  <si>
    <t>Propriétaire</t>
  </si>
  <si>
    <t>Certificat</t>
  </si>
  <si>
    <t>N° de voile</t>
  </si>
  <si>
    <t>LOA</t>
  </si>
  <si>
    <t>RL</t>
  </si>
  <si>
    <t>BOA</t>
  </si>
  <si>
    <t>TE</t>
  </si>
  <si>
    <t>Q</t>
  </si>
  <si>
    <t>W</t>
  </si>
  <si>
    <t>RW</t>
  </si>
  <si>
    <t>E</t>
  </si>
  <si>
    <t>E1</t>
  </si>
  <si>
    <t>E2</t>
  </si>
  <si>
    <t>E3</t>
  </si>
  <si>
    <t>T</t>
  </si>
  <si>
    <t>B</t>
  </si>
  <si>
    <t>P</t>
  </si>
  <si>
    <t>SM</t>
  </si>
  <si>
    <t>CM</t>
  </si>
  <si>
    <t>RSM</t>
  </si>
  <si>
    <t>LJ</t>
  </si>
  <si>
    <t>LP</t>
  </si>
  <si>
    <t>SJ</t>
  </si>
  <si>
    <t>CE</t>
  </si>
  <si>
    <t>CF</t>
  </si>
  <si>
    <t>RSJ</t>
  </si>
  <si>
    <t>V</t>
  </si>
  <si>
    <t>DH</t>
  </si>
  <si>
    <t>DF</t>
  </si>
  <si>
    <t>DMG</t>
  </si>
  <si>
    <t>SD</t>
  </si>
  <si>
    <t>TA</t>
  </si>
  <si>
    <t>TF</t>
  </si>
  <si>
    <t>RSD</t>
  </si>
  <si>
    <t>CA</t>
  </si>
  <si>
    <t>SF</t>
  </si>
  <si>
    <t>SL1</t>
  </si>
  <si>
    <t>SL2</t>
  </si>
  <si>
    <t>SMG</t>
  </si>
  <si>
    <t>SS</t>
  </si>
  <si>
    <t>RSS</t>
  </si>
  <si>
    <t>RS</t>
  </si>
  <si>
    <t>HSB</t>
  </si>
  <si>
    <t>HM</t>
  </si>
  <si>
    <t>HF</t>
  </si>
  <si>
    <t>VM</t>
  </si>
  <si>
    <t>PF</t>
  </si>
  <si>
    <t>K</t>
  </si>
  <si>
    <t>R2011</t>
  </si>
  <si>
    <t>HN</t>
  </si>
  <si>
    <t>PY</t>
  </si>
  <si>
    <t>Mesuré par</t>
  </si>
  <si>
    <t>Date ou épreuve</t>
  </si>
  <si>
    <t>Commentaires</t>
  </si>
  <si>
    <r>
      <rPr>
        <b val="1"/>
        <sz val="10"/>
        <color indexed="8"/>
        <rFont val="Arial"/>
      </rPr>
      <t>Nom</t>
    </r>
  </si>
  <si>
    <t>2 Zoreilles</t>
  </si>
  <si>
    <t>ASTUS 22,1</t>
  </si>
  <si>
    <t>Vallet</t>
  </si>
  <si>
    <t>ASTUS BOATS</t>
  </si>
  <si>
    <t>Jean-Marc SCHWARTZ</t>
  </si>
  <si>
    <t>10_017</t>
  </si>
  <si>
    <t>x</t>
  </si>
  <si>
    <r>
      <rPr>
        <b val="1"/>
        <sz val="10"/>
        <color indexed="8"/>
        <rFont val="Arial"/>
      </rPr>
      <t>2 Zoreilles</t>
    </r>
  </si>
  <si>
    <t>3.14</t>
  </si>
  <si>
    <t>OUTREMER 55 Light</t>
  </si>
  <si>
    <t>Gérard DANSON</t>
  </si>
  <si>
    <t>OUTREMER</t>
  </si>
  <si>
    <t>Bertrand BONITEAU</t>
  </si>
  <si>
    <t>/</t>
  </si>
  <si>
    <t>Bernard MOREL</t>
  </si>
  <si>
    <t>Trophée LMDC 98</t>
  </si>
  <si>
    <t>constructeur</t>
  </si>
  <si>
    <r>
      <rPr>
        <b val="1"/>
        <sz val="10"/>
        <color indexed="8"/>
        <rFont val="Arial"/>
      </rPr>
      <t>3.14</t>
    </r>
  </si>
  <si>
    <t>3 NARVALITOS 3</t>
  </si>
  <si>
    <t>BEPOX 333</t>
  </si>
  <si>
    <t>David REARD</t>
  </si>
  <si>
    <t>Amateur</t>
  </si>
  <si>
    <t>Christophe LEGAL</t>
  </si>
  <si>
    <t>10_034</t>
  </si>
  <si>
    <t>FRA 37330</t>
  </si>
  <si>
    <r>
      <rPr>
        <b val="1"/>
        <sz val="10"/>
        <color indexed="8"/>
        <rFont val="Arial"/>
      </rPr>
      <t>3 NARVALITOS 3</t>
    </r>
  </si>
  <si>
    <t>4 X 4</t>
  </si>
  <si>
    <t>4 X CAT</t>
  </si>
  <si>
    <t>Daniel HEILMANN</t>
  </si>
  <si>
    <t>Denis KERGOMARD</t>
  </si>
  <si>
    <t>F 24</t>
  </si>
  <si>
    <t>Multithaunic 98</t>
  </si>
  <si>
    <t>propriétaire</t>
  </si>
  <si>
    <r>
      <rPr>
        <b val="1"/>
        <sz val="10"/>
        <color indexed="8"/>
        <rFont val="Arial"/>
      </rPr>
      <t>4 X 4</t>
    </r>
  </si>
  <si>
    <t>AAKA</t>
  </si>
  <si>
    <t>Formule 40 Jeanneau</t>
  </si>
  <si>
    <t>Nigel IRENS</t>
  </si>
  <si>
    <t>JEANNEAU New Co</t>
  </si>
  <si>
    <t>Charles d'ESCLERCS</t>
  </si>
  <si>
    <t>08_008</t>
  </si>
  <si>
    <t>Didier SAPANEL</t>
  </si>
  <si>
    <t>MultiMed 2008</t>
  </si>
  <si>
    <r>
      <rPr>
        <b val="1"/>
        <sz val="10"/>
        <color indexed="8"/>
        <rFont val="Arial"/>
      </rPr>
      <t>AAKA</t>
    </r>
  </si>
  <si>
    <t>ABERZEN</t>
  </si>
  <si>
    <t>DRAGONFLY 920 extrem</t>
  </si>
  <si>
    <t>QUORNING</t>
  </si>
  <si>
    <t>Hrvé DROGOU</t>
  </si>
  <si>
    <t>10_038</t>
  </si>
  <si>
    <t>FRA 142</t>
  </si>
  <si>
    <t>0,45/1,55</t>
  </si>
  <si>
    <t>Estuarire Challenge Gironde 2010</t>
  </si>
  <si>
    <t>certif EAA</t>
  </si>
  <si>
    <r>
      <rPr>
        <b val="1"/>
        <sz val="10"/>
        <color indexed="8"/>
        <rFont val="Arial"/>
      </rPr>
      <t>ABERZEN</t>
    </r>
  </si>
  <si>
    <t>AD HOC</t>
  </si>
  <si>
    <t>EDEL CAT 35</t>
  </si>
  <si>
    <t>EDEL</t>
  </si>
  <si>
    <t>Edel Catamarans</t>
  </si>
  <si>
    <t>LAPORTE</t>
  </si>
  <si>
    <t>Multitaunic 1995</t>
  </si>
  <si>
    <t>Version inconnue, pas de spi</t>
  </si>
  <si>
    <r>
      <rPr>
        <b val="1"/>
        <sz val="10"/>
        <color indexed="8"/>
        <rFont val="Arial"/>
      </rPr>
      <t>AD HOC</t>
    </r>
  </si>
  <si>
    <t>AD LIB</t>
  </si>
  <si>
    <t>ACTION 30</t>
  </si>
  <si>
    <t>Daniel DESCAMPS</t>
  </si>
  <si>
    <t>ACTION NAUTIC</t>
  </si>
  <si>
    <t>Erik LEROUGE</t>
  </si>
  <si>
    <t>Tour de l'Ile de Ré 98</t>
  </si>
  <si>
    <r>
      <rPr>
        <b val="1"/>
        <sz val="10"/>
        <color indexed="8"/>
        <rFont val="Arial"/>
      </rPr>
      <t>AD LIB</t>
    </r>
  </si>
  <si>
    <t>ADELAIDE II</t>
  </si>
  <si>
    <t>CATANA 471</t>
  </si>
  <si>
    <t>Christophe BARREAU</t>
  </si>
  <si>
    <t>CATANA</t>
  </si>
  <si>
    <t>Jean-François JULIEN</t>
  </si>
  <si>
    <t>0,8/2,5</t>
  </si>
  <si>
    <t>Jean-Marc RUTIN</t>
  </si>
  <si>
    <t>Transcaraïbe des Passionnés 99</t>
  </si>
  <si>
    <t>owner</t>
  </si>
  <si>
    <r>
      <rPr>
        <b val="1"/>
        <sz val="10"/>
        <color indexed="8"/>
        <rFont val="Arial"/>
      </rPr>
      <t>ADELAIDE II</t>
    </r>
  </si>
  <si>
    <t>ADONNANTE</t>
  </si>
  <si>
    <t>AZULI F40</t>
  </si>
  <si>
    <t>C.N. de SOUBISE</t>
  </si>
  <si>
    <t>Chris ELSTON</t>
  </si>
  <si>
    <t>F 249 M</t>
  </si>
  <si>
    <t>Le Tour Dauvergne 98</t>
  </si>
  <si>
    <t>freeboard</t>
  </si>
  <si>
    <r>
      <rPr>
        <b val="1"/>
        <sz val="10"/>
        <color indexed="8"/>
        <rFont val="Arial"/>
      </rPr>
      <t>ADONNANTE</t>
    </r>
  </si>
  <si>
    <t>ADRENALINE</t>
  </si>
  <si>
    <t>DIABOLO</t>
  </si>
  <si>
    <t>Jacques FIOLEAU</t>
  </si>
  <si>
    <t>Samuel BOUDON</t>
  </si>
  <si>
    <t>Championnat d'Europe 1997</t>
  </si>
  <si>
    <r>
      <rPr>
        <b val="1"/>
        <sz val="10"/>
        <color indexed="8"/>
        <rFont val="Arial"/>
      </rPr>
      <t>ADRENALINE</t>
    </r>
  </si>
  <si>
    <t>AGIL</t>
  </si>
  <si>
    <t>LAGOON 47</t>
  </si>
  <si>
    <t>Van PETEGHEN/LAURIOT-PREVOT</t>
  </si>
  <si>
    <t>LAGOON</t>
  </si>
  <si>
    <t>Gilles CARRO</t>
  </si>
  <si>
    <t>MultiMed 2004</t>
  </si>
  <si>
    <r>
      <rPr>
        <b val="1"/>
        <sz val="10"/>
        <color indexed="8"/>
        <rFont val="Arial"/>
      </rPr>
      <t>AGIL</t>
    </r>
  </si>
  <si>
    <t>AGRION</t>
  </si>
  <si>
    <t>One-Off 40</t>
  </si>
  <si>
    <t>Peignet</t>
  </si>
  <si>
    <t>Ranska</t>
  </si>
  <si>
    <t>Kai Linko</t>
  </si>
  <si>
    <t>FIN 75</t>
  </si>
  <si>
    <t>Lasse Jämsä</t>
  </si>
  <si>
    <t>pesée</t>
  </si>
  <si>
    <r>
      <rPr>
        <b val="1"/>
        <sz val="10"/>
        <color indexed="8"/>
        <rFont val="Arial"/>
      </rPr>
      <t>AGRION</t>
    </r>
  </si>
  <si>
    <t>ALDENTE</t>
  </si>
  <si>
    <t>One-Off</t>
  </si>
  <si>
    <t>Michel FRANCQUEVILLE</t>
  </si>
  <si>
    <t>Tony LINARES</t>
  </si>
  <si>
    <t>Nicolas Bianconi</t>
  </si>
  <si>
    <t>Multimed 2006</t>
  </si>
  <si>
    <r>
      <rPr>
        <b val="1"/>
        <sz val="10"/>
        <color indexed="8"/>
        <rFont val="Arial"/>
      </rPr>
      <t>ALDENTE</t>
    </r>
  </si>
  <si>
    <t>ALINE</t>
  </si>
  <si>
    <t>NAUTITECH 44</t>
  </si>
  <si>
    <t>MORTRAIN MAURIKIOS</t>
  </si>
  <si>
    <t>NAUTITECH</t>
  </si>
  <si>
    <t>SMGE</t>
  </si>
  <si>
    <t>09_021</t>
  </si>
  <si>
    <t>FRA 37272</t>
  </si>
  <si>
    <r>
      <rPr>
        <b val="1"/>
        <sz val="10"/>
        <color indexed="8"/>
        <rFont val="Arial"/>
      </rPr>
      <t>ALINE</t>
    </r>
  </si>
  <si>
    <t>ALLIGATOR</t>
  </si>
  <si>
    <t>OUTREMER 50</t>
  </si>
  <si>
    <t>Pierre DEBROUASSE</t>
  </si>
  <si>
    <t>0,70/2,50</t>
  </si>
  <si>
    <r>
      <rPr>
        <b val="1"/>
        <sz val="10"/>
        <color indexed="8"/>
        <rFont val="Arial"/>
      </rPr>
      <t>ALLIGATOR</t>
    </r>
  </si>
  <si>
    <t>ALTAIR</t>
  </si>
  <si>
    <t>ALTAIR 39</t>
  </si>
  <si>
    <t>Eric MAGRE</t>
  </si>
  <si>
    <t>POLY ART</t>
  </si>
  <si>
    <t>Roger BOVETTO</t>
  </si>
  <si>
    <t>0,7/1,5</t>
  </si>
  <si>
    <r>
      <rPr>
        <b val="1"/>
        <sz val="10"/>
        <color indexed="8"/>
        <rFont val="Arial"/>
      </rPr>
      <t>ALTAIR</t>
    </r>
  </si>
  <si>
    <t>AMAZIGH</t>
  </si>
  <si>
    <t>VAL 3</t>
  </si>
  <si>
    <t>D. NEWICK</t>
  </si>
  <si>
    <t>J-M OLLIVIER</t>
  </si>
  <si>
    <t>,35/2,13</t>
  </si>
  <si>
    <t>Multimalo 2006</t>
  </si>
  <si>
    <t>Pas de spi ni gennaker</t>
  </si>
  <si>
    <r>
      <rPr>
        <b val="1"/>
        <sz val="10"/>
        <color indexed="8"/>
        <rFont val="Arial"/>
      </rPr>
      <t>AMAZIGH</t>
    </r>
  </si>
  <si>
    <t>ANADEGA</t>
  </si>
  <si>
    <t>CATANA 431</t>
  </si>
  <si>
    <t>Yann JEANNEAU</t>
  </si>
  <si>
    <t>1,1/</t>
  </si>
  <si>
    <t>grutage/franc-bord</t>
  </si>
  <si>
    <r>
      <rPr>
        <b val="1"/>
        <sz val="10"/>
        <color indexed="8"/>
        <rFont val="Arial"/>
      </rPr>
      <t>ANADEGA</t>
    </r>
  </si>
  <si>
    <t>ANARCHIST</t>
  </si>
  <si>
    <t>PHAETON</t>
  </si>
  <si>
    <t>Colin INNES</t>
  </si>
  <si>
    <t>Multimanche 99</t>
  </si>
  <si>
    <r>
      <rPr>
        <b val="1"/>
        <sz val="10"/>
        <color indexed="8"/>
        <rFont val="Arial"/>
      </rPr>
      <t>ANARCHIST</t>
    </r>
  </si>
  <si>
    <t>AND SEA</t>
  </si>
  <si>
    <t>BAHIA 46</t>
  </si>
  <si>
    <t>JOUBERT/NIVELT</t>
  </si>
  <si>
    <t>FONTAINE-PAJOT</t>
  </si>
  <si>
    <t>Jean-Paul BAECHLER</t>
  </si>
  <si>
    <t>V sur plan, spi 120%</t>
  </si>
  <si>
    <r>
      <rPr>
        <b val="1"/>
        <sz val="10"/>
        <color indexed="8"/>
        <rFont val="Arial"/>
      </rPr>
      <t>AND SEA</t>
    </r>
  </si>
  <si>
    <t>APACA</t>
  </si>
  <si>
    <t>AQUILON 800</t>
  </si>
  <si>
    <t>Paul STANEK</t>
  </si>
  <si>
    <t>STANEK MARINE</t>
  </si>
  <si>
    <t>Guy PASQUIER</t>
  </si>
  <si>
    <t>Novembre à Hyères 99</t>
  </si>
  <si>
    <r>
      <rPr>
        <b val="1"/>
        <sz val="10"/>
        <color indexed="8"/>
        <rFont val="Arial"/>
      </rPr>
      <t>APACA</t>
    </r>
  </si>
  <si>
    <t>AQUABLUE</t>
  </si>
  <si>
    <t>LOOPING 50</t>
  </si>
  <si>
    <t>Patrick LUSCHER</t>
  </si>
  <si>
    <t>07_001</t>
  </si>
  <si>
    <t>Belge</t>
  </si>
  <si>
    <t>MultiMed 2007</t>
  </si>
  <si>
    <t>Poids à vérifier</t>
  </si>
  <si>
    <r>
      <rPr>
        <b val="1"/>
        <sz val="10"/>
        <color indexed="8"/>
        <rFont val="Arial"/>
      </rPr>
      <t>AQUABLUE</t>
    </r>
  </si>
  <si>
    <t>AQUAERA</t>
  </si>
  <si>
    <t>One-off</t>
  </si>
  <si>
    <t>Philippe BOUSQUET</t>
  </si>
  <si>
    <t>Multi Malo 2004</t>
  </si>
  <si>
    <t>skipper</t>
  </si>
  <si>
    <t>Manque tangon</t>
  </si>
  <si>
    <r>
      <rPr>
        <b val="1"/>
        <sz val="10"/>
        <color indexed="8"/>
        <rFont val="Arial"/>
      </rPr>
      <t>AQUAERA</t>
    </r>
  </si>
  <si>
    <t>ARGO</t>
  </si>
  <si>
    <t>NAUTITECH 475</t>
  </si>
  <si>
    <t>Alain MORTAIN</t>
  </si>
  <si>
    <t>DUFOUR</t>
  </si>
  <si>
    <t>Cyrille ROGNON</t>
  </si>
  <si>
    <r>
      <rPr>
        <b val="1"/>
        <sz val="10"/>
        <color indexed="8"/>
        <rFont val="Arial"/>
      </rPr>
      <t>ARGO</t>
    </r>
  </si>
  <si>
    <t>ARROW</t>
  </si>
  <si>
    <t>Proto F28</t>
  </si>
  <si>
    <t>Philippe CORFEC</t>
  </si>
  <si>
    <t>Certificat F28</t>
  </si>
  <si>
    <r>
      <rPr>
        <b val="1"/>
        <sz val="10"/>
        <color indexed="8"/>
        <rFont val="Arial"/>
      </rPr>
      <t>ARROW</t>
    </r>
  </si>
  <si>
    <t>ASTELLE</t>
  </si>
  <si>
    <t>CORSAIR 31.1 D</t>
  </si>
  <si>
    <t>Ian FARRIER</t>
  </si>
  <si>
    <t>CORSAIR</t>
  </si>
  <si>
    <t>Aymeric de CHEZELLES</t>
  </si>
  <si>
    <t>08_020</t>
  </si>
  <si>
    <t>FRA 34601</t>
  </si>
  <si>
    <t>0,41/1,7</t>
  </si>
  <si>
    <t>Barqueira 2007</t>
  </si>
  <si>
    <t>pesée lège + correction poids</t>
  </si>
  <si>
    <r>
      <rPr>
        <b val="1"/>
        <sz val="10"/>
        <color indexed="8"/>
        <rFont val="Arial"/>
      </rPr>
      <t>ASTELLE</t>
    </r>
  </si>
  <si>
    <t>ASTRE</t>
  </si>
  <si>
    <t>Bernard NIVELT</t>
  </si>
  <si>
    <t>Pascal QUINTIN</t>
  </si>
  <si>
    <t>1,3/2,5</t>
  </si>
  <si>
    <t>Le Tour Dauvergne 2003</t>
  </si>
  <si>
    <r>
      <rPr>
        <b val="1"/>
        <sz val="10"/>
        <color indexed="8"/>
        <rFont val="Arial"/>
      </rPr>
      <t>ASTRE</t>
    </r>
  </si>
  <si>
    <t>AVANZA</t>
  </si>
  <si>
    <t>SEACART 30</t>
  </si>
  <si>
    <t>Marc LOMBARD</t>
  </si>
  <si>
    <t>OnceanlakeMarine</t>
  </si>
  <si>
    <t>Martinot Lagarde</t>
  </si>
  <si>
    <t>0,35/2</t>
  </si>
  <si>
    <r>
      <rPr>
        <b val="1"/>
        <sz val="10"/>
        <color indexed="8"/>
        <rFont val="Arial"/>
      </rPr>
      <t>AVANZA</t>
    </r>
  </si>
  <si>
    <t>AVENTURA</t>
  </si>
  <si>
    <t>Jacques FAUROUX</t>
  </si>
  <si>
    <t>GO-CATAMARAN</t>
  </si>
  <si>
    <t>Eric ROGER</t>
  </si>
  <si>
    <t>Tour de l'Ile de Ré 2001</t>
  </si>
  <si>
    <r>
      <rPr>
        <b val="1"/>
        <sz val="10"/>
        <color indexed="8"/>
        <rFont val="Arial"/>
      </rPr>
      <t>AVENTURA</t>
    </r>
  </si>
  <si>
    <t>BAAMI</t>
  </si>
  <si>
    <t>Hervé SEGUIN</t>
  </si>
  <si>
    <t>F 312M</t>
  </si>
  <si>
    <t>MultiMalo 2005</t>
  </si>
  <si>
    <t>Correction pour mât</t>
  </si>
  <si>
    <r>
      <rPr>
        <b val="1"/>
        <sz val="10"/>
        <color indexed="8"/>
        <rFont val="Arial"/>
      </rPr>
      <t>BAAMI</t>
    </r>
  </si>
  <si>
    <t>BACHI BOUZOUK</t>
  </si>
  <si>
    <t>RACKHAM 33</t>
  </si>
  <si>
    <t>LADY HAWK</t>
  </si>
  <si>
    <t>Michel MORAULT</t>
  </si>
  <si>
    <t>07_019</t>
  </si>
  <si>
    <t>FRA 34622</t>
  </si>
  <si>
    <t>Tour de l'île de Ré 2007</t>
  </si>
  <si>
    <t>architecte</t>
  </si>
  <si>
    <t>vérifier le poids par mesure du franc bod</t>
  </si>
  <si>
    <r>
      <rPr>
        <b val="1"/>
        <sz val="10"/>
        <color indexed="8"/>
        <rFont val="Arial"/>
      </rPr>
      <t>BACHI BOUZOUK</t>
    </r>
  </si>
  <si>
    <t>BANDOL</t>
  </si>
  <si>
    <t>CDK 28</t>
  </si>
  <si>
    <t>Philippe CABON</t>
  </si>
  <si>
    <t>CDK</t>
  </si>
  <si>
    <t>Patrick de GUERANDE</t>
  </si>
  <si>
    <t>St-Georges de Didonne 98</t>
  </si>
  <si>
    <r>
      <rPr>
        <b val="1"/>
        <sz val="10"/>
        <color indexed="8"/>
        <rFont val="Arial"/>
      </rPr>
      <t>BANDOL</t>
    </r>
  </si>
  <si>
    <t>BARON NOIR</t>
  </si>
  <si>
    <t>CN PORTBAIL</t>
  </si>
  <si>
    <t>Georges KICK</t>
  </si>
  <si>
    <t>F21M</t>
  </si>
  <si>
    <t>,27/1,71</t>
  </si>
  <si>
    <r>
      <rPr>
        <b val="1"/>
        <sz val="10"/>
        <color indexed="8"/>
        <rFont val="Arial"/>
      </rPr>
      <t>BARON NOIR</t>
    </r>
  </si>
  <si>
    <t>BEAUVALLON BABE</t>
  </si>
  <si>
    <t>CORSAIR 31 R</t>
  </si>
  <si>
    <t>Xavier GRAVELEAU</t>
  </si>
  <si>
    <t>07_002</t>
  </si>
  <si>
    <t>FRA 34616</t>
  </si>
  <si>
    <t>/1,68</t>
  </si>
  <si>
    <t>Doute sur L, V et poids</t>
  </si>
  <si>
    <r>
      <rPr>
        <b val="1"/>
        <sz val="10"/>
        <color indexed="8"/>
        <rFont val="Arial"/>
      </rPr>
      <t>BEAUVALLON BABE</t>
    </r>
  </si>
  <si>
    <t>BETTY BOOP</t>
  </si>
  <si>
    <t>CAT 21</t>
  </si>
  <si>
    <t>Hubert CHOLLET</t>
  </si>
  <si>
    <t>C.P.A.</t>
  </si>
  <si>
    <t>Michel FERNANDEZ</t>
  </si>
  <si>
    <t>F 199 M</t>
  </si>
  <si>
    <t>Certificat IMMCA</t>
  </si>
  <si>
    <r>
      <rPr>
        <b val="1"/>
        <sz val="10"/>
        <color indexed="8"/>
        <rFont val="Arial"/>
      </rPr>
      <t>BETTY BOOP</t>
    </r>
  </si>
  <si>
    <t>BILFOT</t>
  </si>
  <si>
    <t>ACAPELLA</t>
  </si>
  <si>
    <t>Walter GREEN</t>
  </si>
  <si>
    <t>Jean-Paul FROC</t>
  </si>
  <si>
    <t>08_016</t>
  </si>
  <si>
    <t>1/2,5</t>
  </si>
  <si>
    <r>
      <rPr>
        <b val="1"/>
        <sz val="10"/>
        <color indexed="8"/>
        <rFont val="Arial"/>
      </rPr>
      <t>BILFOT</t>
    </r>
  </si>
  <si>
    <t>BISCOTTE</t>
  </si>
  <si>
    <t>KL28 Trophée</t>
  </si>
  <si>
    <t>LUCAS/CABON</t>
  </si>
  <si>
    <t>KL NAUTIC</t>
  </si>
  <si>
    <t>Louis BOYER</t>
  </si>
  <si>
    <t>,25/1,7</t>
  </si>
  <si>
    <t>Tour de l'Ile de Ré 99</t>
  </si>
  <si>
    <r>
      <rPr>
        <b val="1"/>
        <sz val="10"/>
        <color indexed="8"/>
        <rFont val="Arial"/>
      </rPr>
      <t>BISCOTTE</t>
    </r>
  </si>
  <si>
    <t>BLANCA</t>
  </si>
  <si>
    <t>MARSTROM</t>
  </si>
  <si>
    <t>Hervé MARGOLIS</t>
  </si>
  <si>
    <t>10_039</t>
  </si>
  <si>
    <t>Chrétienne 2010</t>
  </si>
  <si>
    <r>
      <rPr>
        <b val="1"/>
        <sz val="10"/>
        <color indexed="8"/>
        <rFont val="Arial"/>
      </rPr>
      <t>BLANCA</t>
    </r>
  </si>
  <si>
    <t>BLISS</t>
  </si>
  <si>
    <t>PETTER 50</t>
  </si>
  <si>
    <t>PETTER QUALITY YACHTS</t>
  </si>
  <si>
    <t>Luc DAIME</t>
  </si>
  <si>
    <t>,53/2,61</t>
  </si>
  <si>
    <t>Multiforbans 98</t>
  </si>
  <si>
    <r>
      <rPr>
        <b val="1"/>
        <sz val="10"/>
        <color indexed="8"/>
        <rFont val="Arial"/>
      </rPr>
      <t>BLISS</t>
    </r>
  </si>
  <si>
    <t>BLUE MOTION</t>
  </si>
  <si>
    <t>Claude-Ernest PORTRON</t>
  </si>
  <si>
    <t>10_040</t>
  </si>
  <si>
    <t>FRA 37343</t>
  </si>
  <si>
    <t>Certificat de EAA</t>
  </si>
  <si>
    <r>
      <rPr>
        <b val="1"/>
        <sz val="10"/>
        <color indexed="8"/>
        <rFont val="Arial"/>
      </rPr>
      <t>BLUE MOTION</t>
    </r>
  </si>
  <si>
    <t>BLUE NOTE</t>
  </si>
  <si>
    <t>Privilège 615</t>
  </si>
  <si>
    <t>ALLIAURA Marine</t>
  </si>
  <si>
    <t>Alain TELANDRO</t>
  </si>
  <si>
    <t>08_009</t>
  </si>
  <si>
    <r>
      <rPr>
        <b val="1"/>
        <sz val="10"/>
        <color indexed="8"/>
        <rFont val="Arial"/>
      </rPr>
      <t>BLUE NOTE</t>
    </r>
  </si>
  <si>
    <t>BLUE ONE</t>
  </si>
  <si>
    <t>Pierre-Jacques KUBIS</t>
  </si>
  <si>
    <r>
      <rPr>
        <b val="1"/>
        <sz val="10"/>
        <color indexed="8"/>
        <rFont val="Arial"/>
      </rPr>
      <t>BLUE ONE</t>
    </r>
  </si>
  <si>
    <t>BONHEUR DES DAMES</t>
  </si>
  <si>
    <t>FRENCH CAT</t>
  </si>
  <si>
    <t>Gérard CHENUS</t>
  </si>
  <si>
    <t>TECHNICOQUE</t>
  </si>
  <si>
    <t>José VIDAL</t>
  </si>
  <si>
    <r>
      <rPr>
        <b val="1"/>
        <sz val="10"/>
        <color indexed="8"/>
        <rFont val="Arial"/>
      </rPr>
      <t>BONHEUR DES DAMES</t>
    </r>
  </si>
  <si>
    <t>BRAIZE RIDER</t>
  </si>
  <si>
    <t>Black Rider 40</t>
  </si>
  <si>
    <t>Plessis</t>
  </si>
  <si>
    <t>Brest Rider</t>
  </si>
  <si>
    <t>Bertrand DULISCOUET</t>
  </si>
  <si>
    <t>08_023</t>
  </si>
  <si>
    <r>
      <rPr>
        <b val="1"/>
        <sz val="10"/>
        <color indexed="8"/>
        <rFont val="Arial"/>
      </rPr>
      <t>BRAIZE RIDER</t>
    </r>
  </si>
  <si>
    <t>BRILLAC 3</t>
  </si>
  <si>
    <t>PUNCH 8,50</t>
  </si>
  <si>
    <t>Philippe HARLE</t>
  </si>
  <si>
    <t>Gildas BODOLEC</t>
  </si>
  <si>
    <t>Morbihan 2006</t>
  </si>
  <si>
    <r>
      <rPr>
        <b val="1"/>
        <sz val="10"/>
        <color indexed="8"/>
        <rFont val="Arial"/>
      </rPr>
      <t>BRILLAC 3</t>
    </r>
  </si>
  <si>
    <t>BUG II</t>
  </si>
  <si>
    <t>DRAGONFLY 800</t>
  </si>
  <si>
    <t>FOWLER</t>
  </si>
  <si>
    <t>GER 245</t>
  </si>
  <si>
    <t>Certificat MOCRA</t>
  </si>
  <si>
    <r>
      <rPr>
        <b val="1"/>
        <sz val="10"/>
        <color indexed="8"/>
        <rFont val="Arial"/>
      </rPr>
      <t>BUG II</t>
    </r>
  </si>
  <si>
    <t>CAFES PETIT DUC</t>
  </si>
  <si>
    <t>Joël DUCASSE</t>
  </si>
  <si>
    <t>F 217 M</t>
  </si>
  <si>
    <r>
      <rPr>
        <b val="1"/>
        <sz val="10"/>
        <color indexed="8"/>
        <rFont val="Arial"/>
      </rPr>
      <t>CAFES PETIT DUC</t>
    </r>
  </si>
  <si>
    <t>CAÏMAN</t>
  </si>
  <si>
    <t>F27</t>
  </si>
  <si>
    <t>Gérard ROUMANTEAU</t>
  </si>
  <si>
    <t>10_036</t>
  </si>
  <si>
    <r>
      <rPr>
        <b val="1"/>
        <sz val="10"/>
        <color indexed="8"/>
        <rFont val="Arial"/>
      </rPr>
      <t>CAÏMAN</t>
    </r>
  </si>
  <si>
    <t>CAN ELLE</t>
  </si>
  <si>
    <t>CAMPING CAT 22</t>
  </si>
  <si>
    <t>CRESPY</t>
  </si>
  <si>
    <t>Fabrice KLEIN</t>
  </si>
  <si>
    <t>Spi estimé 120%, drifter estimé intermédiaire</t>
  </si>
  <si>
    <r>
      <rPr>
        <b val="1"/>
        <sz val="10"/>
        <color indexed="8"/>
        <rFont val="Arial"/>
      </rPr>
      <t>CAN ELLE</t>
    </r>
  </si>
  <si>
    <t>CARAÏBES AIR CARGO</t>
  </si>
  <si>
    <t>GREEN/IRENS</t>
  </si>
  <si>
    <t>GREEN/CAPELLE</t>
  </si>
  <si>
    <t>Charlie CAPELLE</t>
  </si>
  <si>
    <t>,6/</t>
  </si>
  <si>
    <r>
      <rPr>
        <b val="1"/>
        <sz val="10"/>
        <color indexed="8"/>
        <rFont val="Arial"/>
      </rPr>
      <t>CARAÏBES AIR CARGO</t>
    </r>
  </si>
  <si>
    <t>CARBON TIGER</t>
  </si>
  <si>
    <t>F 28R</t>
  </si>
  <si>
    <t>Brian HAYNES</t>
  </si>
  <si>
    <t>GIBBINS/BUTTERFIELD</t>
  </si>
  <si>
    <t>Plymouth GP 99</t>
  </si>
  <si>
    <r>
      <rPr>
        <b val="1"/>
        <sz val="10"/>
        <color indexed="8"/>
        <rFont val="Arial"/>
      </rPr>
      <t>CARBON TIGER</t>
    </r>
  </si>
  <si>
    <t>CATAPULTE</t>
  </si>
  <si>
    <t>ABSOLU 50</t>
  </si>
  <si>
    <t>CATLANTECH</t>
  </si>
  <si>
    <t>VINCENT</t>
  </si>
  <si>
    <t>MultiMed 2006</t>
  </si>
  <si>
    <t>Doute sur voilure</t>
  </si>
  <si>
    <r>
      <rPr>
        <b val="1"/>
        <sz val="10"/>
        <color indexed="8"/>
        <rFont val="Arial"/>
      </rPr>
      <t>CATAPULTE</t>
    </r>
  </si>
  <si>
    <t>CATPAT</t>
  </si>
  <si>
    <t>TOULBAO</t>
  </si>
  <si>
    <t>André LERCULEY</t>
  </si>
  <si>
    <t>Tirant d'eau estimé</t>
  </si>
  <si>
    <r>
      <rPr>
        <b val="1"/>
        <sz val="10"/>
        <color indexed="8"/>
        <rFont val="Arial"/>
      </rPr>
      <t>CATPAT</t>
    </r>
  </si>
  <si>
    <t>CEIS ESPACE</t>
  </si>
  <si>
    <t>CDK Technologie</t>
  </si>
  <si>
    <t>Vincent de MAYNARD</t>
  </si>
  <si>
    <t>07_026</t>
  </si>
  <si>
    <t>1,2/1,7</t>
  </si>
  <si>
    <r>
      <rPr>
        <b val="1"/>
        <sz val="10"/>
        <color indexed="8"/>
        <rFont val="Arial"/>
      </rPr>
      <t>CEIS ESPACE</t>
    </r>
  </si>
  <si>
    <t>CELLO</t>
  </si>
  <si>
    <t>Pascal ATTUYT</t>
  </si>
  <si>
    <t>07_008</t>
  </si>
  <si>
    <t>FRA 34644</t>
  </si>
  <si>
    <t>,30/1,4</t>
  </si>
  <si>
    <t>D'après plans, données propriétaire + Chachacha</t>
  </si>
  <si>
    <r>
      <rPr>
        <b val="1"/>
        <sz val="10"/>
        <color indexed="8"/>
        <rFont val="Arial"/>
      </rPr>
      <t>CELLO</t>
    </r>
  </si>
  <si>
    <t>CHACHACHA</t>
  </si>
  <si>
    <t>CHABASSIERE</t>
  </si>
  <si>
    <t>D'après jauge Triceteratops</t>
  </si>
  <si>
    <r>
      <rPr>
        <b val="1"/>
        <sz val="10"/>
        <color indexed="8"/>
        <rFont val="Arial"/>
      </rPr>
      <t>CHACHACHA</t>
    </r>
  </si>
  <si>
    <t>CHACONIA</t>
  </si>
  <si>
    <t>F 27</t>
  </si>
  <si>
    <t>Jean-Paul HUGUET</t>
  </si>
  <si>
    <r>
      <rPr>
        <b val="1"/>
        <sz val="10"/>
        <color indexed="8"/>
        <rFont val="Arial"/>
      </rPr>
      <t>CHACONIA</t>
    </r>
  </si>
  <si>
    <t>CHALLENGER</t>
  </si>
  <si>
    <t>C 36</t>
  </si>
  <si>
    <t>Corsair Marine</t>
  </si>
  <si>
    <t>Xavier CALLEDE</t>
  </si>
  <si>
    <t>10_035</t>
  </si>
  <si>
    <t>FRA 37261</t>
  </si>
  <si>
    <t>0,55/1,80</t>
  </si>
  <si>
    <t>Pont bascule</t>
  </si>
  <si>
    <r>
      <rPr>
        <b val="1"/>
        <sz val="10"/>
        <color indexed="8"/>
        <rFont val="Arial"/>
      </rPr>
      <t>CHALLENGER</t>
    </r>
  </si>
  <si>
    <t>CHARLESTON</t>
  </si>
  <si>
    <t>MEYER/SCHMITT</t>
  </si>
  <si>
    <t>Technologie Marine</t>
  </si>
  <si>
    <t>Pierre DUPUY</t>
  </si>
  <si>
    <t>Championnat du Monde 98</t>
  </si>
  <si>
    <r>
      <rPr>
        <b val="1"/>
        <sz val="10"/>
        <color indexed="8"/>
        <rFont val="Arial"/>
      </rPr>
      <t>CHARLESTON</t>
    </r>
  </si>
  <si>
    <t>CHESHIRE CAT</t>
  </si>
  <si>
    <t>PROUT 46</t>
  </si>
  <si>
    <t>PROUT</t>
  </si>
  <si>
    <t>Alan DEARMAN</t>
  </si>
  <si>
    <t>Dresdner 99</t>
  </si>
  <si>
    <r>
      <rPr>
        <b val="1"/>
        <sz val="10"/>
        <color indexed="8"/>
        <rFont val="Arial"/>
      </rPr>
      <t>CHESHIRE CAT</t>
    </r>
  </si>
  <si>
    <t>CHICAMOUR 3</t>
  </si>
  <si>
    <t>Astus 20.2</t>
  </si>
  <si>
    <t>Philippe ROULIN</t>
  </si>
  <si>
    <t>Henri LEMENINCIER</t>
  </si>
  <si>
    <t>10_018</t>
  </si>
  <si>
    <t>0,25/1,25</t>
  </si>
  <si>
    <r>
      <rPr>
        <b val="1"/>
        <sz val="10"/>
        <color indexed="8"/>
        <rFont val="Arial"/>
      </rPr>
      <t>CHICAMOUR 3</t>
    </r>
  </si>
  <si>
    <t>CHIEN JAUNE</t>
  </si>
  <si>
    <t>Proto</t>
  </si>
  <si>
    <t>Philippe RIVIERE</t>
  </si>
  <si>
    <t>VINEL</t>
  </si>
  <si>
    <t>F 100</t>
  </si>
  <si>
    <r>
      <rPr>
        <b val="1"/>
        <sz val="10"/>
        <color indexed="8"/>
        <rFont val="Arial"/>
      </rPr>
      <t>CHIEN JAUNE</t>
    </r>
  </si>
  <si>
    <t>CHILDERIC VI</t>
  </si>
  <si>
    <t>FREYDIS performance</t>
  </si>
  <si>
    <t>Jean-Pierre GUILPIN</t>
  </si>
  <si>
    <t>MC-Cup 99</t>
  </si>
  <si>
    <t>D'aprés certificat GUERZIDO</t>
  </si>
  <si>
    <r>
      <rPr>
        <b val="1"/>
        <sz val="10"/>
        <color indexed="8"/>
        <rFont val="Arial"/>
      </rPr>
      <t>CHILDERIC VI</t>
    </r>
  </si>
  <si>
    <t>CHILI</t>
  </si>
  <si>
    <t>HP 680</t>
  </si>
  <si>
    <t>Thomas Pauli</t>
  </si>
  <si>
    <t>FIN 102</t>
  </si>
  <si>
    <t>Kari Onnela</t>
  </si>
  <si>
    <r>
      <rPr>
        <b val="1"/>
        <sz val="10"/>
        <color indexed="8"/>
        <rFont val="Arial"/>
      </rPr>
      <t>CHILI</t>
    </r>
  </si>
  <si>
    <t>CHILLY PEPER</t>
  </si>
  <si>
    <t>WETA 4.4</t>
  </si>
  <si>
    <t>Roger Kitchen</t>
  </si>
  <si>
    <t>WETA Marine</t>
  </si>
  <si>
    <t>David BALDUCCI</t>
  </si>
  <si>
    <t>10_005</t>
  </si>
  <si>
    <t>FRA 37309</t>
  </si>
  <si>
    <t>MultiMed 2010</t>
  </si>
  <si>
    <r>
      <rPr>
        <b val="1"/>
        <sz val="10"/>
        <color indexed="8"/>
        <rFont val="Arial"/>
      </rPr>
      <t>CHILLY PEPER</t>
    </r>
  </si>
  <si>
    <t>CHOUKA</t>
  </si>
  <si>
    <t>Alin GRINDA</t>
  </si>
  <si>
    <t>F 245 M</t>
  </si>
  <si>
    <t>Multimanche 01</t>
  </si>
  <si>
    <r>
      <rPr>
        <b val="1"/>
        <sz val="10"/>
        <color indexed="8"/>
        <rFont val="Arial"/>
      </rPr>
      <t>CHOUKA</t>
    </r>
  </si>
  <si>
    <t>CIEL BLEU</t>
  </si>
  <si>
    <t>MALDIVES</t>
  </si>
  <si>
    <t>Hyères 1997</t>
  </si>
  <si>
    <t>Doute sur spi</t>
  </si>
  <si>
    <r>
      <rPr>
        <b val="1"/>
        <sz val="10"/>
        <color indexed="8"/>
        <rFont val="Arial"/>
      </rPr>
      <t>CIEL BLEU</t>
    </r>
  </si>
  <si>
    <t>CORIOLIS</t>
  </si>
  <si>
    <t>CATANA 48</t>
  </si>
  <si>
    <t>Yann BOURDAIS</t>
  </si>
  <si>
    <t>0,8/2,2</t>
  </si>
  <si>
    <t>grutage</t>
  </si>
  <si>
    <t>Doute sur poids</t>
  </si>
  <si>
    <r>
      <rPr>
        <b val="1"/>
        <sz val="10"/>
        <color indexed="8"/>
        <rFont val="Arial"/>
      </rPr>
      <t>CORIOLIS</t>
    </r>
  </si>
  <si>
    <t>CORI ONE</t>
  </si>
  <si>
    <t>CORSAIR SPRINT 750</t>
  </si>
  <si>
    <t>CORI SARL</t>
  </si>
  <si>
    <t>09_017</t>
  </si>
  <si>
    <t>FRA 37264</t>
  </si>
  <si>
    <t>0,3/1,65</t>
  </si>
  <si>
    <t>Tour Belle-île 2009</t>
  </si>
  <si>
    <t>poids lège + estimation</t>
  </si>
  <si>
    <r>
      <rPr>
        <b val="1"/>
        <sz val="10"/>
        <color indexed="8"/>
        <rFont val="Arial"/>
      </rPr>
      <t>CORI ONE</t>
    </r>
  </si>
  <si>
    <t>CRÊPES WHAOU !</t>
  </si>
  <si>
    <t>Proto 50 pieds</t>
  </si>
  <si>
    <t>Vincent Lauriot Prevost</t>
  </si>
  <si>
    <t>SA Whaou Sport</t>
  </si>
  <si>
    <t>08_004</t>
  </si>
  <si>
    <t>FRA 35985</t>
  </si>
  <si>
    <t>Vincent de Maynard</t>
  </si>
  <si>
    <t>peson</t>
  </si>
  <si>
    <r>
      <rPr>
        <b val="1"/>
        <sz val="10"/>
        <color indexed="8"/>
        <rFont val="Arial"/>
      </rPr>
      <t>CRÊPES WHAOU !</t>
    </r>
  </si>
  <si>
    <t>CRIN BLANC</t>
  </si>
  <si>
    <t>JOUBERT-NIVELT</t>
  </si>
  <si>
    <t>Claude</t>
  </si>
  <si>
    <t>Hervé Moel</t>
  </si>
  <si>
    <t>Tahiti Pearl Regatta</t>
  </si>
  <si>
    <t>Manque le spi ou drifter/gennaker</t>
  </si>
  <si>
    <r>
      <rPr>
        <b val="1"/>
        <sz val="10"/>
        <color indexed="8"/>
        <rFont val="Arial"/>
      </rPr>
      <t>CRIN BLANC</t>
    </r>
  </si>
  <si>
    <t>CRISTAL BLANC</t>
  </si>
  <si>
    <t>Gilbert LAMBOLEY</t>
  </si>
  <si>
    <t>08_001</t>
  </si>
  <si>
    <t>FRA 310 M</t>
  </si>
  <si>
    <t>0,36/1,5</t>
  </si>
  <si>
    <t>chantier</t>
  </si>
  <si>
    <r>
      <rPr>
        <b val="1"/>
        <sz val="10"/>
        <color indexed="8"/>
        <rFont val="Arial"/>
      </rPr>
      <t>CRISTAL BLANC</t>
    </r>
  </si>
  <si>
    <t>DAISY</t>
  </si>
  <si>
    <t>POYOMER 850</t>
  </si>
  <si>
    <t>Marc-Louis RIFFLART</t>
  </si>
  <si>
    <t>CAT-SYSTEME</t>
  </si>
  <si>
    <t>brochure</t>
  </si>
  <si>
    <r>
      <rPr>
        <b val="1"/>
        <sz val="10"/>
        <color indexed="8"/>
        <rFont val="Arial"/>
      </rPr>
      <t>DAISY</t>
    </r>
  </si>
  <si>
    <t>DIADEME</t>
  </si>
  <si>
    <t>CATANA 42 S</t>
  </si>
  <si>
    <t>Patrice BIANCONI</t>
  </si>
  <si>
    <t>10_009</t>
  </si>
  <si>
    <t>0,8/1,8</t>
  </si>
  <si>
    <t>Doute sur poids, manque enrouleur</t>
  </si>
  <si>
    <r>
      <rPr>
        <b val="1"/>
        <sz val="10"/>
        <color indexed="8"/>
        <rFont val="Arial"/>
      </rPr>
      <t>DIADEME</t>
    </r>
  </si>
  <si>
    <t>DIATOME</t>
  </si>
  <si>
    <t>TOBAGO 35</t>
  </si>
  <si>
    <t>Daniel BERTHELIN</t>
  </si>
  <si>
    <t>09_011</t>
  </si>
  <si>
    <t>FRA 34618</t>
  </si>
  <si>
    <t>D'après jauge IDEE FIXE</t>
  </si>
  <si>
    <r>
      <rPr>
        <b val="1"/>
        <sz val="10"/>
        <color indexed="8"/>
        <rFont val="Arial"/>
      </rPr>
      <t>DIATOME</t>
    </r>
  </si>
  <si>
    <t>DIONE</t>
  </si>
  <si>
    <t>Snow Bird</t>
  </si>
  <si>
    <t>Pelin</t>
  </si>
  <si>
    <t>K. Nuotio</t>
  </si>
  <si>
    <t>Robert Hagström</t>
  </si>
  <si>
    <t>FIN 70</t>
  </si>
  <si>
    <r>
      <rPr>
        <b val="1"/>
        <sz val="10"/>
        <color indexed="8"/>
        <rFont val="Arial"/>
      </rPr>
      <t>DIONE</t>
    </r>
  </si>
  <si>
    <t>DIV</t>
  </si>
  <si>
    <t>LOUISIANE</t>
  </si>
  <si>
    <t>Jean-Louis LE CLAINCHE</t>
  </si>
  <si>
    <r>
      <rPr>
        <b val="1"/>
        <sz val="10"/>
        <color indexed="8"/>
        <rFont val="Arial"/>
      </rPr>
      <t>DIV</t>
    </r>
  </si>
  <si>
    <t>DJIYA</t>
  </si>
  <si>
    <t>FREYDIS 46</t>
  </si>
  <si>
    <t>SOUBISE PLAISANCE</t>
  </si>
  <si>
    <t>Jacques PALVADEAU</t>
  </si>
  <si>
    <t>our de l'Ile de Ré 2005</t>
  </si>
  <si>
    <t>D'après rating INTEL RIA</t>
  </si>
  <si>
    <r>
      <rPr>
        <b val="1"/>
        <sz val="10"/>
        <color indexed="8"/>
        <rFont val="Arial"/>
      </rPr>
      <t>DJIYA</t>
    </r>
  </si>
  <si>
    <t>DOLPHIN DANCE</t>
  </si>
  <si>
    <t>Michel ALLAIN</t>
  </si>
  <si>
    <r>
      <rPr>
        <b val="1"/>
        <sz val="10"/>
        <color indexed="8"/>
        <rFont val="Arial"/>
      </rPr>
      <t>DOLPHIN DANCE</t>
    </r>
  </si>
  <si>
    <t>DON FRANCESCO</t>
  </si>
  <si>
    <t>FAUROUX 40</t>
  </si>
  <si>
    <t>Lydie VIELLE</t>
  </si>
  <si>
    <t>Erreur sur gréement</t>
  </si>
  <si>
    <r>
      <rPr>
        <b val="1"/>
        <sz val="10"/>
        <color indexed="8"/>
        <rFont val="Arial"/>
      </rPr>
      <t>DON FRANCESCO</t>
    </r>
  </si>
  <si>
    <t>DRAGONFLYER</t>
  </si>
  <si>
    <t>DRAGONFLY 1000</t>
  </si>
  <si>
    <t>Mike BUTTERFIELD</t>
  </si>
  <si>
    <t>Simon FORBES</t>
  </si>
  <si>
    <t>Southampton 98</t>
  </si>
  <si>
    <r>
      <rPr>
        <b val="1"/>
        <sz val="10"/>
        <color indexed="8"/>
        <rFont val="Arial"/>
      </rPr>
      <t>DRAGONFLYER</t>
    </r>
  </si>
  <si>
    <t>DREAM CATCHER</t>
  </si>
  <si>
    <t>Emmnuel BOSC</t>
  </si>
  <si>
    <t>10_010</t>
  </si>
  <si>
    <t>FRA 34624</t>
  </si>
  <si>
    <t>Laurent Von Saenger</t>
  </si>
  <si>
    <r>
      <rPr>
        <b val="1"/>
        <sz val="10"/>
        <color indexed="8"/>
        <rFont val="Arial"/>
      </rPr>
      <t>DREAM CATCHER</t>
    </r>
  </si>
  <si>
    <t>DROP 1</t>
  </si>
  <si>
    <t>DROP 26</t>
  </si>
  <si>
    <t>Gaudry</t>
  </si>
  <si>
    <t>NAVAL FORCE 3</t>
  </si>
  <si>
    <t>Tour de l'Ile de Ré 1997</t>
  </si>
  <si>
    <r>
      <rPr>
        <b val="1"/>
        <sz val="10"/>
        <color indexed="8"/>
        <rFont val="Arial"/>
      </rPr>
      <t>DROP 1</t>
    </r>
  </si>
  <si>
    <t>DROP 2</t>
  </si>
  <si>
    <t>LORET</t>
  </si>
  <si>
    <r>
      <rPr>
        <b val="1"/>
        <sz val="10"/>
        <color indexed="8"/>
        <rFont val="Arial"/>
      </rPr>
      <t>DROP 2</t>
    </r>
  </si>
  <si>
    <t>DUCHESSE</t>
  </si>
  <si>
    <t>Charles VIELLARD BARON</t>
  </si>
  <si>
    <t>D'après certificat ADELAIDE, doute sur poids et voiles</t>
  </si>
  <si>
    <r>
      <rPr>
        <b val="1"/>
        <sz val="10"/>
        <color indexed="8"/>
        <rFont val="Arial"/>
      </rPr>
      <t>DUCHESSE</t>
    </r>
  </si>
  <si>
    <t>DUNE</t>
  </si>
  <si>
    <t>CHALLENGE 30</t>
  </si>
  <si>
    <t>Olivier CADIOU</t>
  </si>
  <si>
    <t>Tour de l'Ile de Ré 2005</t>
  </si>
  <si>
    <r>
      <rPr>
        <b val="1"/>
        <sz val="10"/>
        <color indexed="8"/>
        <rFont val="Arial"/>
      </rPr>
      <t>DUNE</t>
    </r>
  </si>
  <si>
    <t>EAA</t>
  </si>
  <si>
    <t>Massimo BUZZI</t>
  </si>
  <si>
    <t>10_015</t>
  </si>
  <si>
    <t>ITA 113</t>
  </si>
  <si>
    <t>Alba Cup 2008</t>
  </si>
  <si>
    <r>
      <rPr>
        <b val="1"/>
        <sz val="10"/>
        <color indexed="8"/>
        <rFont val="Arial"/>
      </rPr>
      <t>EAA</t>
    </r>
  </si>
  <si>
    <t>EDHEN MAR</t>
  </si>
  <si>
    <t>LAGOON 500</t>
  </si>
  <si>
    <t>Construction navale Bordeaux</t>
  </si>
  <si>
    <t>Alain BOULICOT</t>
  </si>
  <si>
    <t>10_016</t>
  </si>
  <si>
    <t>données approximatives</t>
  </si>
  <si>
    <r>
      <rPr>
        <b val="1"/>
        <sz val="10"/>
        <color indexed="8"/>
        <rFont val="Arial"/>
      </rPr>
      <t>EDHEN MAR</t>
    </r>
  </si>
  <si>
    <t>ELECTRA</t>
  </si>
  <si>
    <t>Mike TEBBUTT</t>
  </si>
  <si>
    <r>
      <rPr>
        <b val="1"/>
        <sz val="10"/>
        <color indexed="8"/>
        <rFont val="Arial"/>
      </rPr>
      <t>ELECTRA</t>
    </r>
  </si>
  <si>
    <t>ELISABETH 3</t>
  </si>
  <si>
    <t>GUILLOT</t>
  </si>
  <si>
    <r>
      <rPr>
        <b val="1"/>
        <sz val="10"/>
        <color indexed="8"/>
        <rFont val="Arial"/>
      </rPr>
      <t>ELISABETH 3</t>
    </r>
  </si>
  <si>
    <t>ELIXIER</t>
  </si>
  <si>
    <t>EVENT 34</t>
  </si>
  <si>
    <r>
      <rPr>
        <b val="1"/>
        <sz val="10"/>
        <color indexed="8"/>
        <rFont val="Arial"/>
      </rPr>
      <t>ELIXIER</t>
    </r>
  </si>
  <si>
    <t>ENIZENN</t>
  </si>
  <si>
    <t>LAGOON 410</t>
  </si>
  <si>
    <t>Jean-François CORNU</t>
  </si>
  <si>
    <t>FRA 35959</t>
  </si>
  <si>
    <r>
      <rPr>
        <b val="1"/>
        <sz val="10"/>
        <color indexed="8"/>
        <rFont val="Arial"/>
      </rPr>
      <t>ENIZENN</t>
    </r>
  </si>
  <si>
    <t>EO</t>
  </si>
  <si>
    <t>KL 28</t>
  </si>
  <si>
    <t>Paul LUCAS</t>
  </si>
  <si>
    <t>Vincent TRANCART</t>
  </si>
  <si>
    <t>09_027</t>
  </si>
  <si>
    <t>FRA 37282</t>
  </si>
  <si>
    <t>0,25/1,70</t>
  </si>
  <si>
    <r>
      <rPr>
        <b val="1"/>
        <sz val="10"/>
        <color indexed="8"/>
        <rFont val="Arial"/>
      </rPr>
      <t>EO</t>
    </r>
  </si>
  <si>
    <t>EPSILON</t>
  </si>
  <si>
    <t>Jean-François DARON</t>
  </si>
  <si>
    <t>10_031</t>
  </si>
  <si>
    <t>F 201 M</t>
  </si>
  <si>
    <r>
      <rPr>
        <b val="1"/>
        <sz val="10"/>
        <color indexed="8"/>
        <rFont val="Arial"/>
      </rPr>
      <t>EPSILON</t>
    </r>
  </si>
  <si>
    <t>ERENDIL</t>
  </si>
  <si>
    <t>PROFIL 99</t>
  </si>
  <si>
    <t>PROFIL</t>
  </si>
  <si>
    <t>RESSAC</t>
  </si>
  <si>
    <t>Novembre à Hyères 01</t>
  </si>
  <si>
    <r>
      <rPr>
        <b val="1"/>
        <sz val="10"/>
        <color indexed="8"/>
        <rFont val="Arial"/>
      </rPr>
      <t>ERENDIL</t>
    </r>
  </si>
  <si>
    <t>ESPERANZA</t>
  </si>
  <si>
    <t>TRIFORSIX</t>
  </si>
  <si>
    <t>Michel FORTIN</t>
  </si>
  <si>
    <t>TOURNIER Marine</t>
  </si>
  <si>
    <t>Yves de ROSANBO</t>
  </si>
  <si>
    <t>09_022</t>
  </si>
  <si>
    <t>FRA 34623</t>
  </si>
  <si>
    <t>0,47/2,00</t>
  </si>
  <si>
    <t>Tour de l'Ile de Ré 2007</t>
  </si>
  <si>
    <t>lège + estimation voile</t>
  </si>
  <si>
    <r>
      <rPr>
        <b val="1"/>
        <sz val="10"/>
        <color indexed="8"/>
        <rFont val="Arial"/>
      </rPr>
      <t>ESPERANZA</t>
    </r>
  </si>
  <si>
    <t>ESTERELLE</t>
  </si>
  <si>
    <t>CATANA 40</t>
  </si>
  <si>
    <t>Lock CROWTHER</t>
  </si>
  <si>
    <t>Gérard ROSSET</t>
  </si>
  <si>
    <t>franc-bord</t>
  </si>
  <si>
    <r>
      <rPr>
        <b val="1"/>
        <sz val="10"/>
        <color indexed="8"/>
        <rFont val="Arial"/>
      </rPr>
      <t>ESTERELLE</t>
    </r>
  </si>
  <si>
    <t>ETOILE des BERGERS</t>
  </si>
  <si>
    <t>Jean-Marie HEYBERGER</t>
  </si>
  <si>
    <t>07_009</t>
  </si>
  <si>
    <t>FRA 34621</t>
  </si>
  <si>
    <t>0,8/2,3</t>
  </si>
  <si>
    <r>
      <rPr>
        <b val="1"/>
        <sz val="10"/>
        <color indexed="8"/>
        <rFont val="Arial"/>
      </rPr>
      <t>ETOILE des BERGERS</t>
    </r>
  </si>
  <si>
    <t>FANDA</t>
  </si>
  <si>
    <t>One-Off 38</t>
  </si>
  <si>
    <t>R. Karpio</t>
  </si>
  <si>
    <t>J&amp;T Miettinen and M Enoksson</t>
  </si>
  <si>
    <t>FIN 58</t>
  </si>
  <si>
    <t>?</t>
  </si>
  <si>
    <r>
      <rPr>
        <b val="1"/>
        <sz val="10"/>
        <color indexed="8"/>
        <rFont val="Arial"/>
      </rPr>
      <t>FANDA</t>
    </r>
  </si>
  <si>
    <t>FANTASIA</t>
  </si>
  <si>
    <t>TREMOLINO MK IV 2003</t>
  </si>
  <si>
    <t>Dick NEWICK</t>
  </si>
  <si>
    <t>Patrick GALLAIS</t>
  </si>
  <si>
    <t>09_004</t>
  </si>
  <si>
    <t>FRA37252</t>
  </si>
  <si>
    <r>
      <rPr>
        <b val="1"/>
        <sz val="10"/>
        <color indexed="8"/>
        <rFont val="Arial"/>
      </rPr>
      <t>FANTASIA</t>
    </r>
  </si>
  <si>
    <t>FIBRES ET DESIGN</t>
  </si>
  <si>
    <t>MATCH 28</t>
  </si>
  <si>
    <t>FOUSSARD</t>
  </si>
  <si>
    <r>
      <rPr>
        <b val="1"/>
        <sz val="10"/>
        <color indexed="8"/>
        <rFont val="Arial"/>
      </rPr>
      <t>FIBRES ET DESIGN</t>
    </r>
  </si>
  <si>
    <t>FILDOU</t>
  </si>
  <si>
    <t>F 40 Foiler</t>
  </si>
  <si>
    <t>QUERE</t>
  </si>
  <si>
    <t>Emmanuel PIRONNEAU</t>
  </si>
  <si>
    <t>08_030</t>
  </si>
  <si>
    <t>FRA 35954</t>
  </si>
  <si>
    <t>0,4/2</t>
  </si>
  <si>
    <r>
      <rPr>
        <b val="1"/>
        <sz val="10"/>
        <color indexed="8"/>
        <rFont val="Arial"/>
      </rPr>
      <t>FILDOU</t>
    </r>
  </si>
  <si>
    <t>FIREBIRD</t>
  </si>
  <si>
    <t>Martyn SMITH</t>
  </si>
  <si>
    <t>MODULAR MOULDINGS</t>
  </si>
  <si>
    <t>Reg WHITE</t>
  </si>
  <si>
    <t>F 467 M</t>
  </si>
  <si>
    <r>
      <rPr>
        <b val="1"/>
        <sz val="10"/>
        <color indexed="8"/>
        <rFont val="Arial"/>
      </rPr>
      <t>FIREBIRD</t>
    </r>
  </si>
  <si>
    <t>FLYVER´N</t>
  </si>
  <si>
    <t>Trident 27/31</t>
  </si>
  <si>
    <t>Quorning</t>
  </si>
  <si>
    <t>Martin Hildebrand</t>
  </si>
  <si>
    <t>FIN 85</t>
  </si>
  <si>
    <r>
      <rPr>
        <b val="1"/>
        <sz val="10"/>
        <color indexed="8"/>
        <rFont val="Arial"/>
      </rPr>
      <t>FLYVER´N</t>
    </r>
  </si>
  <si>
    <t>FULI</t>
  </si>
  <si>
    <t>OUTREMER 45</t>
  </si>
  <si>
    <t>Jose OUVRIER</t>
  </si>
  <si>
    <t>07_006</t>
  </si>
  <si>
    <t>FRA 34620</t>
  </si>
  <si>
    <t>0,60/2,20</t>
  </si>
  <si>
    <t>Multimed 2007</t>
  </si>
  <si>
    <r>
      <rPr>
        <b val="1"/>
        <sz val="10"/>
        <color indexed="8"/>
        <rFont val="Arial"/>
      </rPr>
      <t>FULI</t>
    </r>
  </si>
  <si>
    <t>GAÏA</t>
  </si>
  <si>
    <t>GAÏA 43</t>
  </si>
  <si>
    <t>Christian DOGUET</t>
  </si>
  <si>
    <r>
      <rPr>
        <b val="1"/>
        <sz val="10"/>
        <color indexed="8"/>
        <rFont val="Arial"/>
      </rPr>
      <t>GAÏA</t>
    </r>
  </si>
  <si>
    <t>GIFI</t>
  </si>
  <si>
    <t>FREYDIS 45racing</t>
  </si>
  <si>
    <t>Dominique DEMACHY</t>
  </si>
  <si>
    <t>,52/2,59</t>
  </si>
  <si>
    <t>plans</t>
  </si>
  <si>
    <t>Corrigé sur plans</t>
  </si>
  <si>
    <r>
      <rPr>
        <b val="1"/>
        <sz val="10"/>
        <color indexed="8"/>
        <rFont val="Arial"/>
      </rPr>
      <t>GIFI</t>
    </r>
  </si>
  <si>
    <t>GOLUBKA</t>
  </si>
  <si>
    <t>BIK</t>
  </si>
  <si>
    <r>
      <rPr>
        <b val="1"/>
        <sz val="10"/>
        <color indexed="8"/>
        <rFont val="Arial"/>
      </rPr>
      <t>GOLUBKA</t>
    </r>
  </si>
  <si>
    <t>GUERZIDO</t>
  </si>
  <si>
    <t>Christian MARTIN</t>
  </si>
  <si>
    <t>Tour de l'Ile de Ré 2000</t>
  </si>
  <si>
    <r>
      <rPr>
        <b val="1"/>
        <sz val="10"/>
        <color indexed="8"/>
        <rFont val="Arial"/>
      </rPr>
      <t>GUERZIDO</t>
    </r>
  </si>
  <si>
    <t>GUYAVOILE</t>
  </si>
  <si>
    <t>PUNCH 55 long charter</t>
  </si>
  <si>
    <t>Mulicoq Caraïbes</t>
  </si>
  <si>
    <t>Frédéric LACHOT</t>
  </si>
  <si>
    <t>08_025</t>
  </si>
  <si>
    <t>FRA 35987</t>
  </si>
  <si>
    <r>
      <rPr>
        <b val="1"/>
        <sz val="10"/>
        <color indexed="8"/>
        <rFont val="Arial"/>
      </rPr>
      <t>GUYAVOILE</t>
    </r>
  </si>
  <si>
    <t>GWENOJENN</t>
  </si>
  <si>
    <t>Nicolas TRANCHANT</t>
  </si>
  <si>
    <t>10_020</t>
  </si>
  <si>
    <t>MULTIMED 2010</t>
  </si>
  <si>
    <t>estimation</t>
  </si>
  <si>
    <r>
      <rPr>
        <b val="1"/>
        <sz val="10"/>
        <color indexed="8"/>
        <rFont val="Arial"/>
      </rPr>
      <t>GWENOJENN</t>
    </r>
  </si>
  <si>
    <t>HALE BOPP</t>
  </si>
  <si>
    <t>CATANA 381</t>
  </si>
  <si>
    <t>José OUVRIER</t>
  </si>
  <si>
    <t>0,7/2,2</t>
  </si>
  <si>
    <r>
      <rPr>
        <b val="1"/>
        <sz val="10"/>
        <color indexed="8"/>
        <rFont val="Arial"/>
      </rPr>
      <t>HALE BOPP</t>
    </r>
  </si>
  <si>
    <t>HENRI IV</t>
  </si>
  <si>
    <t>CORNEEL 26S</t>
  </si>
  <si>
    <t>Bernard CAMBERLEIN</t>
  </si>
  <si>
    <r>
      <rPr>
        <b val="1"/>
        <sz val="10"/>
        <color indexed="8"/>
        <rFont val="Arial"/>
      </rPr>
      <t>HENRI IV</t>
    </r>
  </si>
  <si>
    <t>HIVA OA</t>
  </si>
  <si>
    <t>ASTUS 20.1</t>
  </si>
  <si>
    <t>J-M POMMOIS</t>
  </si>
  <si>
    <t>Marc BECHARIAT</t>
  </si>
  <si>
    <t>08_003</t>
  </si>
  <si>
    <t>FRA 35953</t>
  </si>
  <si>
    <t>Poids à contrôler</t>
  </si>
  <si>
    <r>
      <rPr>
        <b val="1"/>
        <sz val="10"/>
        <color indexed="8"/>
        <rFont val="Arial"/>
      </rPr>
      <t>HIVA OA</t>
    </r>
  </si>
  <si>
    <t>HYONE</t>
  </si>
  <si>
    <t>BMS 33</t>
  </si>
  <si>
    <t>Malcom TENNANT</t>
  </si>
  <si>
    <t>BMS</t>
  </si>
  <si>
    <t>Gerry ROBINSON/Denis RANJARD</t>
  </si>
  <si>
    <t>08_024</t>
  </si>
  <si>
    <t>GBR 702 M</t>
  </si>
  <si>
    <t>0,4/1,8</t>
  </si>
  <si>
    <r>
      <rPr>
        <b val="1"/>
        <sz val="10"/>
        <color indexed="8"/>
        <rFont val="Arial"/>
      </rPr>
      <t>HYONE</t>
    </r>
  </si>
  <si>
    <t>IBRIS</t>
  </si>
  <si>
    <t>Multi 23</t>
  </si>
  <si>
    <t>Van Peteghem Lauriot Prevost</t>
  </si>
  <si>
    <t>TORPEN, QINGDAO</t>
  </si>
  <si>
    <t>Eddy CHALONO</t>
  </si>
  <si>
    <t>10_030</t>
  </si>
  <si>
    <t>0,4/1,37</t>
  </si>
  <si>
    <t>Combat Coques 2010</t>
  </si>
  <si>
    <t>certificat MULTI23</t>
  </si>
  <si>
    <r>
      <rPr>
        <b val="1"/>
        <sz val="10"/>
        <color indexed="8"/>
        <rFont val="Arial"/>
      </rPr>
      <t>IBRIS</t>
    </r>
  </si>
  <si>
    <t>IDEE FIXE</t>
  </si>
  <si>
    <t>Dominique PACES</t>
  </si>
  <si>
    <r>
      <rPr>
        <b val="1"/>
        <sz val="10"/>
        <color indexed="8"/>
        <rFont val="Arial"/>
      </rPr>
      <t>IDEE FIXE</t>
    </r>
  </si>
  <si>
    <t>ILOLINTU</t>
  </si>
  <si>
    <t>DRAGONFLY MkI</t>
  </si>
  <si>
    <t>Kai LINKO</t>
  </si>
  <si>
    <t>,35/1,35</t>
  </si>
  <si>
    <r>
      <rPr>
        <b val="1"/>
        <sz val="10"/>
        <color indexed="8"/>
        <rFont val="Arial"/>
      </rPr>
      <t>ILOLINTU</t>
    </r>
  </si>
  <si>
    <t>ILONA</t>
  </si>
  <si>
    <t>PERETIER</t>
  </si>
  <si>
    <t>Tour de l'Ile de Ré 2002</t>
  </si>
  <si>
    <t>Enrouleur estimé</t>
  </si>
  <si>
    <r>
      <rPr>
        <b val="1"/>
        <sz val="10"/>
        <color indexed="8"/>
        <rFont val="Arial"/>
      </rPr>
      <t>ILONA</t>
    </r>
  </si>
  <si>
    <t>INOUI</t>
  </si>
  <si>
    <t>Didier CAQUET</t>
  </si>
  <si>
    <r>
      <rPr>
        <b val="1"/>
        <sz val="10"/>
        <color indexed="8"/>
        <rFont val="Arial"/>
      </rPr>
      <t>INOUI</t>
    </r>
  </si>
  <si>
    <t>INTEL RIA</t>
  </si>
  <si>
    <t>FREYDIS 460</t>
  </si>
  <si>
    <t>Jacques LE BORGNE</t>
  </si>
  <si>
    <r>
      <rPr>
        <b val="1"/>
        <sz val="10"/>
        <color indexed="8"/>
        <rFont val="Arial"/>
      </rPr>
      <t>INTEL RIA</t>
    </r>
  </si>
  <si>
    <t>JALUCINE</t>
  </si>
  <si>
    <t>CORNEEL 26 Love</t>
  </si>
  <si>
    <t>Yann-Patrick GUYOMAR</t>
  </si>
  <si>
    <t>D'après jauge PASSIFLORE, doute sur poids et voiles</t>
  </si>
  <si>
    <r>
      <rPr>
        <b val="1"/>
        <sz val="10"/>
        <color indexed="8"/>
        <rFont val="Arial"/>
      </rPr>
      <t>JALUCINE</t>
    </r>
  </si>
  <si>
    <t>JIM PHIZ</t>
  </si>
  <si>
    <t>CATANA 42</t>
  </si>
  <si>
    <t>L Crowther</t>
  </si>
  <si>
    <t>catana</t>
  </si>
  <si>
    <t>Claude RIGAL</t>
  </si>
  <si>
    <t>,8/1,9</t>
  </si>
  <si>
    <r>
      <rPr>
        <b val="1"/>
        <sz val="10"/>
        <color indexed="8"/>
        <rFont val="Arial"/>
      </rPr>
      <t>JIM PHIZ</t>
    </r>
  </si>
  <si>
    <t>JOLLY JUMPER III</t>
  </si>
  <si>
    <t>BRAZAPI 40</t>
  </si>
  <si>
    <t>BRAZAPI</t>
  </si>
  <si>
    <t>Philippe BESSEC</t>
  </si>
  <si>
    <t>08_026</t>
  </si>
  <si>
    <r>
      <rPr>
        <b val="1"/>
        <sz val="10"/>
        <color indexed="8"/>
        <rFont val="Arial"/>
      </rPr>
      <t>JOLLY JUMPER III</t>
    </r>
  </si>
  <si>
    <t>KALIM</t>
  </si>
  <si>
    <t>Newick</t>
  </si>
  <si>
    <r>
      <rPr>
        <b val="1"/>
        <sz val="10"/>
        <color indexed="8"/>
        <rFont val="Arial"/>
      </rPr>
      <t>KALIM</t>
    </r>
  </si>
  <si>
    <t>KALAO3</t>
  </si>
  <si>
    <t>Helios 38</t>
  </si>
  <si>
    <t>Lelievre et Vigner</t>
  </si>
  <si>
    <t>Edourd VEBER</t>
  </si>
  <si>
    <t>10_037</t>
  </si>
  <si>
    <t>FRA 37334</t>
  </si>
  <si>
    <t>Bernard Lelièvre</t>
  </si>
  <si>
    <r>
      <rPr>
        <b val="1"/>
        <sz val="10"/>
        <color indexed="8"/>
        <rFont val="Arial"/>
      </rPr>
      <t>KALAO3</t>
    </r>
  </si>
  <si>
    <t>KAOS</t>
  </si>
  <si>
    <t>Ian LOFFHAGEN</t>
  </si>
  <si>
    <r>
      <rPr>
        <b val="1"/>
        <sz val="10"/>
        <color indexed="8"/>
        <rFont val="Arial"/>
      </rPr>
      <t>KAOS</t>
    </r>
  </si>
  <si>
    <t>KENI KELI</t>
  </si>
  <si>
    <t>LAGOON 380</t>
  </si>
  <si>
    <t>Novembre à Hyères 2000</t>
  </si>
  <si>
    <r>
      <rPr>
        <b val="1"/>
        <sz val="10"/>
        <color indexed="8"/>
        <rFont val="Arial"/>
      </rPr>
      <t>KENI KELI</t>
    </r>
  </si>
  <si>
    <t>KERLEII</t>
  </si>
  <si>
    <t>LAGOON 440</t>
  </si>
  <si>
    <t>Bruno LESTERLIN</t>
  </si>
  <si>
    <t>09_002</t>
  </si>
  <si>
    <r>
      <rPr>
        <b val="1"/>
        <sz val="10"/>
        <color indexed="8"/>
        <rFont val="Arial"/>
      </rPr>
      <t>KERLEII</t>
    </r>
  </si>
  <si>
    <t>KILLER LOOP</t>
  </si>
  <si>
    <t>Fantan 26</t>
  </si>
  <si>
    <t>Kai Kvick</t>
  </si>
  <si>
    <t>FIN 71</t>
  </si>
  <si>
    <r>
      <rPr>
        <b val="1"/>
        <sz val="10"/>
        <color indexed="8"/>
        <rFont val="Arial"/>
      </rPr>
      <t>KILLER LOOP</t>
    </r>
  </si>
  <si>
    <t>KIRIBATI</t>
  </si>
  <si>
    <r>
      <rPr>
        <b val="1"/>
        <sz val="10"/>
        <color indexed="8"/>
        <rFont val="Arial"/>
      </rPr>
      <t>KIRIBATI</t>
    </r>
  </si>
  <si>
    <t>KIVAOU</t>
  </si>
  <si>
    <t>FIDJI 39+</t>
  </si>
  <si>
    <t>Yannick CITEAU</t>
  </si>
  <si>
    <r>
      <rPr>
        <b val="1"/>
        <sz val="10"/>
        <color indexed="8"/>
        <rFont val="Arial"/>
      </rPr>
      <t>KIVAOU</t>
    </r>
  </si>
  <si>
    <t>KMC 650</t>
  </si>
  <si>
    <t>ORION FMC</t>
  </si>
  <si>
    <t>Christophe ORION</t>
  </si>
  <si>
    <t>10_032</t>
  </si>
  <si>
    <t>FRA 37234</t>
  </si>
  <si>
    <r>
      <rPr>
        <b val="1"/>
        <sz val="10"/>
        <color indexed="8"/>
        <rFont val="Arial"/>
      </rPr>
      <t>KMC 650</t>
    </r>
  </si>
  <si>
    <t>KOKOMO</t>
  </si>
  <si>
    <t>James STEWART</t>
  </si>
  <si>
    <t>class</t>
  </si>
  <si>
    <r>
      <rPr>
        <b val="1"/>
        <sz val="10"/>
        <color indexed="8"/>
        <rFont val="Arial"/>
      </rPr>
      <t>KOKOMO</t>
    </r>
  </si>
  <si>
    <t>KRYSALID</t>
  </si>
  <si>
    <t>Krysalid 42</t>
  </si>
  <si>
    <t>Bat'Kare</t>
  </si>
  <si>
    <t>AURIGA YACHT</t>
  </si>
  <si>
    <t>Gildas LUDOT</t>
  </si>
  <si>
    <t>10_001</t>
  </si>
  <si>
    <r>
      <rPr>
        <b val="1"/>
        <sz val="10"/>
        <color indexed="8"/>
        <rFont val="Arial"/>
      </rPr>
      <t>KRYSALID</t>
    </r>
  </si>
  <si>
    <t>KUPPERSBUSH</t>
  </si>
  <si>
    <t>PULSAR LIGHT</t>
  </si>
  <si>
    <t>C.T.I.</t>
  </si>
  <si>
    <t>Guy ADAM</t>
  </si>
  <si>
    <t>,43/1,93</t>
  </si>
  <si>
    <t>Eril LEROUGE</t>
  </si>
  <si>
    <r>
      <rPr>
        <b val="1"/>
        <sz val="10"/>
        <color indexed="8"/>
        <rFont val="Arial"/>
      </rPr>
      <t>KUPPERSBUSH</t>
    </r>
  </si>
  <si>
    <t>KÜPSIS</t>
  </si>
  <si>
    <t>Formule 40</t>
  </si>
  <si>
    <t>Petgh.Prev.</t>
  </si>
  <si>
    <t>CDK-III</t>
  </si>
  <si>
    <t>08_019</t>
  </si>
  <si>
    <t>FIN 80</t>
  </si>
  <si>
    <r>
      <rPr>
        <b val="1"/>
        <sz val="10"/>
        <color indexed="8"/>
        <rFont val="Arial"/>
      </rPr>
      <t>KÜPSIS</t>
    </r>
  </si>
  <si>
    <t>L BICOQUE</t>
  </si>
  <si>
    <t>Frederic CHARPAIL</t>
  </si>
  <si>
    <t>Tour de l'Ile de Ré 01</t>
  </si>
  <si>
    <r>
      <rPr>
        <b val="1"/>
        <sz val="10"/>
        <color indexed="8"/>
        <rFont val="Arial"/>
      </rPr>
      <t>L BICOQUE</t>
    </r>
  </si>
  <si>
    <t>LA LANDRIAIS II</t>
  </si>
  <si>
    <t>F 31</t>
  </si>
  <si>
    <t>Gilles SERRE</t>
  </si>
  <si>
    <t>Extrapolé de Carbon Tiger</t>
  </si>
  <si>
    <r>
      <rPr>
        <b val="1"/>
        <sz val="10"/>
        <color indexed="8"/>
        <rFont val="Arial"/>
      </rPr>
      <t>LA LANDRIAIS II</t>
    </r>
  </si>
  <si>
    <t>LA RAGAZZA</t>
  </si>
  <si>
    <t>MATTIA 28</t>
  </si>
  <si>
    <t>Enrico CONTREAS</t>
  </si>
  <si>
    <t>MATTIA</t>
  </si>
  <si>
    <t>F 240 M</t>
  </si>
  <si>
    <t>Doute sur spi + drifter</t>
  </si>
  <si>
    <r>
      <rPr>
        <b val="1"/>
        <sz val="10"/>
        <color indexed="8"/>
        <rFont val="Arial"/>
      </rPr>
      <t>LA RAGAZZA</t>
    </r>
  </si>
  <si>
    <t>LA TORTUE</t>
  </si>
  <si>
    <t>KL28 Espace</t>
  </si>
  <si>
    <t>LECLERC/DELPLACE</t>
  </si>
  <si>
    <r>
      <rPr>
        <b val="1"/>
        <sz val="10"/>
        <color indexed="8"/>
        <rFont val="Arial"/>
      </rPr>
      <t>LA TORTUE</t>
    </r>
  </si>
  <si>
    <t>LAVEZZA-EXOMIL</t>
  </si>
  <si>
    <t>LAVEZZI 40</t>
  </si>
  <si>
    <t>François de COURVILLE</t>
  </si>
  <si>
    <t>09_020</t>
  </si>
  <si>
    <t>FRA 37268</t>
  </si>
  <si>
    <t>Barquera 2009</t>
  </si>
  <si>
    <t>Spi estimé, vérifier hélice</t>
  </si>
  <si>
    <r>
      <rPr>
        <b val="1"/>
        <sz val="10"/>
        <color indexed="8"/>
        <rFont val="Arial"/>
      </rPr>
      <t>LAVEZZA-EXOMIL</t>
    </r>
  </si>
  <si>
    <t>L'ALBATROS</t>
  </si>
  <si>
    <t>T3</t>
  </si>
  <si>
    <t>M.C.F.</t>
  </si>
  <si>
    <t>SERRE</t>
  </si>
  <si>
    <r>
      <rPr>
        <b val="1"/>
        <sz val="10"/>
        <color indexed="8"/>
        <rFont val="Arial"/>
      </rPr>
      <t>L'ALBATROS</t>
    </r>
  </si>
  <si>
    <t>L'ARTISTE</t>
  </si>
  <si>
    <t>PULSAR 26</t>
  </si>
  <si>
    <t>Christophe TROUVE</t>
  </si>
  <si>
    <r>
      <rPr>
        <b val="1"/>
        <sz val="10"/>
        <color indexed="8"/>
        <rFont val="Arial"/>
      </rPr>
      <t>L'ARTISTE</t>
    </r>
  </si>
  <si>
    <t>LEJAMAE</t>
  </si>
  <si>
    <t>DASH 750</t>
  </si>
  <si>
    <t>Marc LINTANF</t>
  </si>
  <si>
    <t>10_012</t>
  </si>
  <si>
    <t>FRA 37316</t>
  </si>
  <si>
    <r>
      <rPr>
        <b val="1"/>
        <sz val="10"/>
        <color indexed="8"/>
        <rFont val="Arial"/>
      </rPr>
      <t>LEJAMAE</t>
    </r>
  </si>
  <si>
    <t>LE LOTUS BLEU</t>
  </si>
  <si>
    <t>CATANA 37 modifié</t>
  </si>
  <si>
    <t>Bernarnard MOREL</t>
  </si>
  <si>
    <t>D'après jauge CATANA 39 constructeur</t>
  </si>
  <si>
    <r>
      <rPr>
        <b val="1"/>
        <sz val="10"/>
        <color indexed="8"/>
        <rFont val="Arial"/>
      </rPr>
      <t>LE LOTUS BLEU</t>
    </r>
  </si>
  <si>
    <t>LE PIERRE CROISIERES</t>
  </si>
  <si>
    <t>NAUTITECH 40</t>
  </si>
  <si>
    <t>Pierre DENIS</t>
  </si>
  <si>
    <t>09_016</t>
  </si>
  <si>
    <t>FRA 37265</t>
  </si>
  <si>
    <t>poids chantier</t>
  </si>
  <si>
    <r>
      <rPr>
        <b val="1"/>
        <sz val="10"/>
        <color indexed="8"/>
        <rFont val="Arial"/>
      </rPr>
      <t>LE PIERRE CROISIERES</t>
    </r>
  </si>
  <si>
    <t>LE PIERRE CROISIERES 2</t>
  </si>
  <si>
    <t>08_006</t>
  </si>
  <si>
    <r>
      <rPr>
        <b val="1"/>
        <sz val="10"/>
        <color indexed="8"/>
        <rFont val="Arial"/>
      </rPr>
      <t>LE PIERRE CROISIERES 2</t>
    </r>
  </si>
  <si>
    <t>LE PRINCE DES MERS</t>
  </si>
  <si>
    <t>CASAMANCE</t>
  </si>
  <si>
    <t>PORTRON</t>
  </si>
  <si>
    <r>
      <rPr>
        <b val="1"/>
        <sz val="10"/>
        <color indexed="8"/>
        <rFont val="Arial"/>
      </rPr>
      <t>LE PRINCE DES MERS</t>
    </r>
  </si>
  <si>
    <t>LE SEPTIEME JOUR</t>
  </si>
  <si>
    <t>Jean-Michel THOMAS</t>
  </si>
  <si>
    <t>Doute sur poids, V, drifter</t>
  </si>
  <si>
    <r>
      <rPr>
        <b val="1"/>
        <sz val="10"/>
        <color indexed="8"/>
        <rFont val="Arial"/>
      </rPr>
      <t>LE SEPTIEME JOUR</t>
    </r>
  </si>
  <si>
    <t>LIBELLULE</t>
  </si>
  <si>
    <t>Joseph Bersani</t>
  </si>
  <si>
    <t>07_010</t>
  </si>
  <si>
    <t>FRA 34642</t>
  </si>
  <si>
    <t>Certificat MOCRA de BUG, vérifier gréement</t>
  </si>
  <si>
    <r>
      <rPr>
        <b val="1"/>
        <sz val="10"/>
        <color indexed="8"/>
        <rFont val="Arial"/>
      </rPr>
      <t>LIBELLULE</t>
    </r>
  </si>
  <si>
    <t>P. GAUDRY</t>
  </si>
  <si>
    <t>10_002</t>
  </si>
  <si>
    <t>FRA 37307</t>
  </si>
  <si>
    <t>comparaison STERENN</t>
  </si>
  <si>
    <t>LIBRA</t>
  </si>
  <si>
    <t>PONT</t>
  </si>
  <si>
    <t>H 216</t>
  </si>
  <si>
    <r>
      <rPr>
        <b val="1"/>
        <sz val="10"/>
        <color indexed="8"/>
        <rFont val="Arial"/>
      </rPr>
      <t>LIBRA</t>
    </r>
  </si>
  <si>
    <t>F 24 MK I</t>
  </si>
  <si>
    <t>Jean-François EMONET</t>
  </si>
  <si>
    <t>,3/1,4</t>
  </si>
  <si>
    <t>L'INSOLENT</t>
  </si>
  <si>
    <t>LORENZI</t>
  </si>
  <si>
    <t>07_018</t>
  </si>
  <si>
    <t>ITA 1027</t>
  </si>
  <si>
    <t>0,55/1,7</t>
  </si>
  <si>
    <r>
      <rPr>
        <b val="1"/>
        <sz val="10"/>
        <color indexed="8"/>
        <rFont val="Arial"/>
      </rPr>
      <t>L'INSOLENT</t>
    </r>
  </si>
  <si>
    <t>LITTORINE</t>
  </si>
  <si>
    <t>Olivier LEROUX</t>
  </si>
  <si>
    <t>0,60/2,50</t>
  </si>
  <si>
    <r>
      <rPr>
        <b val="1"/>
        <sz val="10"/>
        <color indexed="8"/>
        <rFont val="Arial"/>
      </rPr>
      <t>LITTORINE</t>
    </r>
  </si>
  <si>
    <t>L'OISEAU LYRE</t>
  </si>
  <si>
    <t>IMAGINE 39</t>
  </si>
  <si>
    <t>Yves SZEKELY</t>
  </si>
  <si>
    <t>0,8/</t>
  </si>
  <si>
    <t>Régates de Juin 2002</t>
  </si>
  <si>
    <r>
      <rPr>
        <b val="1"/>
        <sz val="10"/>
        <color indexed="8"/>
        <rFont val="Arial"/>
      </rPr>
      <t>L'OISEAU LYRE</t>
    </r>
  </si>
  <si>
    <t>LOUTEC</t>
  </si>
  <si>
    <t>One-Off 26</t>
  </si>
  <si>
    <t>Kauko Kanerva</t>
  </si>
  <si>
    <t>FIN 73</t>
  </si>
  <si>
    <r>
      <rPr>
        <b val="1"/>
        <sz val="10"/>
        <color indexed="8"/>
        <rFont val="Arial"/>
      </rPr>
      <t>LOUTEC</t>
    </r>
  </si>
  <si>
    <t>MAC FIFTY</t>
  </si>
  <si>
    <t>KL28</t>
  </si>
  <si>
    <t>Marc BODIN</t>
  </si>
  <si>
    <t>07_023</t>
  </si>
  <si>
    <t>0,3/1,4</t>
  </si>
  <si>
    <r>
      <rPr>
        <b val="1"/>
        <sz val="10"/>
        <color indexed="8"/>
        <rFont val="Arial"/>
      </rPr>
      <t>MAC FIFTY</t>
    </r>
  </si>
  <si>
    <t>MADMAN</t>
  </si>
  <si>
    <t>MASSELMAN</t>
  </si>
  <si>
    <t>H 145</t>
  </si>
  <si>
    <r>
      <rPr>
        <b val="1"/>
        <sz val="10"/>
        <color indexed="8"/>
        <rFont val="Arial"/>
      </rPr>
      <t>MADMAN</t>
    </r>
  </si>
  <si>
    <t>MAGIC HECALOU</t>
  </si>
  <si>
    <t>F9A</t>
  </si>
  <si>
    <t>Capricorn Hitech</t>
  </si>
  <si>
    <t>Jean-Baptiste FEDIDE</t>
  </si>
  <si>
    <t>08_011</t>
  </si>
  <si>
    <t>FRA 35964</t>
  </si>
  <si>
    <r>
      <rPr>
        <b val="1"/>
        <sz val="10"/>
        <color indexed="8"/>
        <rFont val="Arial"/>
      </rPr>
      <t>MAGIC HECALOU</t>
    </r>
  </si>
  <si>
    <t>MAGNUM</t>
  </si>
  <si>
    <t>MAGNUM 21 Classic</t>
  </si>
  <si>
    <t>SAILLARD LOUVET</t>
  </si>
  <si>
    <t>VIRUS BOAT</t>
  </si>
  <si>
    <t>Alain CAMBIER</t>
  </si>
  <si>
    <t>10_007</t>
  </si>
  <si>
    <r>
      <rPr>
        <b val="1"/>
        <sz val="10"/>
        <color indexed="8"/>
        <rFont val="Arial"/>
      </rPr>
      <t>MAGNUM</t>
    </r>
  </si>
  <si>
    <t>MARY</t>
  </si>
  <si>
    <t>Pierre VAN DEN BROEKE</t>
  </si>
  <si>
    <t>10_033</t>
  </si>
  <si>
    <t>GER 6</t>
  </si>
  <si>
    <t>0,35/2,00</t>
  </si>
  <si>
    <t>Aymeric de Chezelles</t>
  </si>
  <si>
    <t>Belle-Île 2010</t>
  </si>
  <si>
    <t>certificat MOCRA M-1092</t>
  </si>
  <si>
    <r>
      <rPr>
        <b val="1"/>
        <sz val="10"/>
        <color indexed="8"/>
        <rFont val="Arial"/>
      </rPr>
      <t>MARY</t>
    </r>
  </si>
  <si>
    <t>MAVIE</t>
  </si>
  <si>
    <t>PETTER 55</t>
  </si>
  <si>
    <t>Paolo VITTADINI</t>
  </si>
  <si>
    <t>,56/2,8</t>
  </si>
  <si>
    <r>
      <rPr>
        <b val="1"/>
        <sz val="10"/>
        <color indexed="8"/>
        <rFont val="Arial"/>
      </rPr>
      <t>MAVIE</t>
    </r>
  </si>
  <si>
    <t>MAZURKA 2</t>
  </si>
  <si>
    <t>TRIAGOZ 25</t>
  </si>
  <si>
    <t>Serge LANGEVIN</t>
  </si>
  <si>
    <t>Langueon Hemidy</t>
  </si>
  <si>
    <t>Olivier BOURRELLIS</t>
  </si>
  <si>
    <t>10_022</t>
  </si>
  <si>
    <t>FRA 37262</t>
  </si>
  <si>
    <t>Tour de l'Ile de Ré 2009</t>
  </si>
  <si>
    <t>fiche chantier</t>
  </si>
  <si>
    <r>
      <rPr>
        <b val="1"/>
        <sz val="10"/>
        <color indexed="8"/>
        <rFont val="Arial"/>
      </rPr>
      <t>MAZURKA 2</t>
    </r>
  </si>
  <si>
    <t>MB YACHTING</t>
  </si>
  <si>
    <t>Alex BORONAT</t>
  </si>
  <si>
    <t>10_003</t>
  </si>
  <si>
    <t>FRA 37308</t>
  </si>
  <si>
    <r>
      <rPr>
        <b val="1"/>
        <sz val="10"/>
        <color indexed="8"/>
        <rFont val="Arial"/>
      </rPr>
      <t>MB YACHTING</t>
    </r>
  </si>
  <si>
    <t>MERIDIAN</t>
  </si>
  <si>
    <t>John SCHUTTLEWORTH</t>
  </si>
  <si>
    <r>
      <rPr>
        <b val="1"/>
        <sz val="10"/>
        <color indexed="8"/>
        <rFont val="Arial"/>
      </rPr>
      <t>MERIDIAN</t>
    </r>
  </si>
  <si>
    <t>MICHOU IV</t>
  </si>
  <si>
    <t>CATANA 37</t>
  </si>
  <si>
    <t>Jean-Pierre AUZAS</t>
  </si>
  <si>
    <r>
      <rPr>
        <b val="1"/>
        <sz val="10"/>
        <color indexed="8"/>
        <rFont val="Arial"/>
      </rPr>
      <t>MICHOU IV</t>
    </r>
  </si>
  <si>
    <t>MOANA</t>
  </si>
  <si>
    <t>SPEED 770</t>
  </si>
  <si>
    <t>Gilles GAHINET</t>
  </si>
  <si>
    <t>OCQUETEAU</t>
  </si>
  <si>
    <t>,35/1,4</t>
  </si>
  <si>
    <t>Novembre à Hyères 201</t>
  </si>
  <si>
    <r>
      <rPr>
        <b val="1"/>
        <sz val="10"/>
        <color indexed="8"/>
        <rFont val="Arial"/>
      </rPr>
      <t>MOANA</t>
    </r>
  </si>
  <si>
    <t>Corsair 31R</t>
  </si>
  <si>
    <t>François MAQUET</t>
  </si>
  <si>
    <t>10_021</t>
  </si>
  <si>
    <t>FRA 37317</t>
  </si>
  <si>
    <t>MODUS VIVENDI</t>
  </si>
  <si>
    <t>WEEK-END</t>
  </si>
  <si>
    <t>MULTI-DIFFUSION</t>
  </si>
  <si>
    <t>Patrick WILLEMS</t>
  </si>
  <si>
    <r>
      <rPr>
        <b val="1"/>
        <sz val="10"/>
        <color indexed="8"/>
        <rFont val="Arial"/>
      </rPr>
      <t>MODUS VIVENDI</t>
    </r>
  </si>
  <si>
    <t>MULTI 23</t>
  </si>
  <si>
    <t>MULTISAILING</t>
  </si>
  <si>
    <t>09_018</t>
  </si>
  <si>
    <t>M 23 002</t>
  </si>
  <si>
    <t>Belle Ile 2009</t>
  </si>
  <si>
    <r>
      <rPr>
        <b val="1"/>
        <sz val="10"/>
        <color indexed="8"/>
        <rFont val="Arial"/>
      </rPr>
      <t>MULTI 23</t>
    </r>
  </si>
  <si>
    <t>NAHEMA</t>
  </si>
  <si>
    <t>Richard PHILLIBERT</t>
  </si>
  <si>
    <r>
      <rPr>
        <b val="1"/>
        <sz val="10"/>
        <color indexed="8"/>
        <rFont val="Arial"/>
      </rPr>
      <t>NAHEMA</t>
    </r>
  </si>
  <si>
    <t>NECORA 2</t>
  </si>
  <si>
    <t>CITE D'ALET II</t>
  </si>
  <si>
    <t>C.N. LABBE</t>
  </si>
  <si>
    <t>Manuel COLLADO</t>
  </si>
  <si>
    <t>Espagne 2004</t>
  </si>
  <si>
    <r>
      <rPr>
        <b val="1"/>
        <sz val="10"/>
        <color indexed="8"/>
        <rFont val="Arial"/>
      </rPr>
      <t>NECORA 2</t>
    </r>
  </si>
  <si>
    <t>NEFERTARI III</t>
  </si>
  <si>
    <t>Belo 33</t>
  </si>
  <si>
    <t>Harri Temonen</t>
  </si>
  <si>
    <t>FIN 95</t>
  </si>
  <si>
    <r>
      <rPr>
        <b val="1"/>
        <sz val="10"/>
        <color indexed="8"/>
        <rFont val="Arial"/>
      </rPr>
      <t>NEFERTARI III</t>
    </r>
  </si>
  <si>
    <t>NEW LINE</t>
  </si>
  <si>
    <t>TROPIC 32</t>
  </si>
  <si>
    <t>Derek KELSALL</t>
  </si>
  <si>
    <t>Tropic Composites</t>
  </si>
  <si>
    <t>Xavier HAMEROUX</t>
  </si>
  <si>
    <t>09_001</t>
  </si>
  <si>
    <t>FRA 37267</t>
  </si>
  <si>
    <t>0,4/1,6</t>
  </si>
  <si>
    <r>
      <rPr>
        <b val="1"/>
        <sz val="10"/>
        <color indexed="8"/>
        <rFont val="Arial"/>
      </rPr>
      <t>NEW LINE</t>
    </r>
  </si>
  <si>
    <t>NIELSEN TRIO</t>
  </si>
  <si>
    <t>Niels Orum NIELSEN</t>
  </si>
  <si>
    <t>NIELSEN</t>
  </si>
  <si>
    <r>
      <rPr>
        <b val="1"/>
        <sz val="10"/>
        <color indexed="8"/>
        <rFont val="Arial"/>
      </rPr>
      <t>NIELSEN TRIO</t>
    </r>
  </si>
  <si>
    <t>NO LIMIT</t>
  </si>
  <si>
    <t>OUTREMER 43</t>
  </si>
  <si>
    <t>Michel BEAUME</t>
  </si>
  <si>
    <t>,5/2</t>
  </si>
  <si>
    <r>
      <rPr>
        <b val="1"/>
        <sz val="10"/>
        <color indexed="8"/>
        <rFont val="Arial"/>
      </rPr>
      <t>NO LIMIT</t>
    </r>
  </si>
  <si>
    <t>NOKIA</t>
  </si>
  <si>
    <r>
      <rPr>
        <b val="1"/>
        <sz val="10"/>
        <color indexed="8"/>
        <rFont val="Arial"/>
      </rPr>
      <t>NOKIA</t>
    </r>
  </si>
  <si>
    <t>NOMAD</t>
  </si>
  <si>
    <t>Jacques THEODOR</t>
  </si>
  <si>
    <t>07_007</t>
  </si>
  <si>
    <t>B110</t>
  </si>
  <si>
    <t>Données incomplètes complétées par SARAVA</t>
  </si>
  <si>
    <r>
      <rPr>
        <b val="1"/>
        <sz val="10"/>
        <color indexed="8"/>
        <rFont val="Arial"/>
      </rPr>
      <t>NOMAD</t>
    </r>
  </si>
  <si>
    <t>NONAM</t>
  </si>
  <si>
    <t>VPLP Vannes</t>
  </si>
  <si>
    <t>10_026</t>
  </si>
  <si>
    <t>Belle Ile 2010</t>
  </si>
  <si>
    <r>
      <rPr>
        <b val="1"/>
        <sz val="10"/>
        <color indexed="8"/>
        <rFont val="Arial"/>
      </rPr>
      <t>NONAM</t>
    </r>
  </si>
  <si>
    <t>NUAGES</t>
  </si>
  <si>
    <t>F 309 M</t>
  </si>
  <si>
    <r>
      <rPr>
        <b val="1"/>
        <sz val="10"/>
        <color indexed="8"/>
        <rFont val="Arial"/>
      </rPr>
      <t>NUAGES</t>
    </r>
  </si>
  <si>
    <t>OBSTINATION</t>
  </si>
  <si>
    <t>CROCODILE</t>
  </si>
  <si>
    <t>Georges Kick</t>
  </si>
  <si>
    <r>
      <rPr>
        <b val="1"/>
        <sz val="10"/>
        <color indexed="8"/>
        <rFont val="Arial"/>
      </rPr>
      <t>OBSTINATION</t>
    </r>
  </si>
  <si>
    <t>OCTOPUS</t>
  </si>
  <si>
    <t>THREE CHEERS</t>
  </si>
  <si>
    <t>R Newick</t>
  </si>
  <si>
    <t>STARBERRY</t>
  </si>
  <si>
    <t>Ariel BADINEAU</t>
  </si>
  <si>
    <t>1/2,2</t>
  </si>
  <si>
    <t>Doute sur voiles.</t>
  </si>
  <si>
    <r>
      <rPr>
        <b val="1"/>
        <sz val="10"/>
        <color indexed="8"/>
        <rFont val="Arial"/>
      </rPr>
      <t>OCTOPUS</t>
    </r>
  </si>
  <si>
    <t>OKEANOS</t>
  </si>
  <si>
    <t>Petit Breton Antilles</t>
  </si>
  <si>
    <r>
      <rPr>
        <b val="1"/>
        <sz val="10"/>
        <color indexed="8"/>
        <rFont val="Arial"/>
      </rPr>
      <t>OKEANOS</t>
    </r>
  </si>
  <si>
    <t>OLIBRIUS</t>
  </si>
  <si>
    <t>SIRIUS 26</t>
  </si>
  <si>
    <t>France PLAY-BOAT</t>
  </si>
  <si>
    <t>Sylvain TERRONNE</t>
  </si>
  <si>
    <t>F 305 M</t>
  </si>
  <si>
    <t>Doute sur P et V</t>
  </si>
  <si>
    <r>
      <rPr>
        <b val="1"/>
        <sz val="10"/>
        <color indexed="8"/>
        <rFont val="Arial"/>
      </rPr>
      <t>OLIBRIUS</t>
    </r>
  </si>
  <si>
    <t>OMORE II</t>
  </si>
  <si>
    <t>Martin GUILLAUME</t>
  </si>
  <si>
    <t>08_018</t>
  </si>
  <si>
    <r>
      <rPr>
        <b val="1"/>
        <sz val="10"/>
        <color indexed="8"/>
        <rFont val="Arial"/>
      </rPr>
      <t>OMORE II</t>
    </r>
  </si>
  <si>
    <t>ORCA VI</t>
  </si>
  <si>
    <t>TANCREDE 23</t>
  </si>
  <si>
    <t>08_007</t>
  </si>
  <si>
    <t>FRA 35957</t>
  </si>
  <si>
    <r>
      <rPr>
        <b val="1"/>
        <sz val="10"/>
        <color indexed="8"/>
        <rFont val="Arial"/>
      </rPr>
      <t>ORCA VI</t>
    </r>
  </si>
  <si>
    <t>ORIGINAL</t>
  </si>
  <si>
    <t>Gilles OLLIER</t>
  </si>
  <si>
    <t>MULTIPLAST</t>
  </si>
  <si>
    <t>Eric DUMONT</t>
  </si>
  <si>
    <t>08_022</t>
  </si>
  <si>
    <r>
      <rPr>
        <b val="1"/>
        <sz val="10"/>
        <color indexed="8"/>
        <rFont val="Arial"/>
      </rPr>
      <t>ORIGINAL</t>
    </r>
  </si>
  <si>
    <t>ORION</t>
  </si>
  <si>
    <t>Harvey BOWDEN</t>
  </si>
  <si>
    <r>
      <rPr>
        <b val="1"/>
        <sz val="10"/>
        <color indexed="8"/>
        <rFont val="Arial"/>
      </rPr>
      <t>ORION</t>
    </r>
  </si>
  <si>
    <t>ORYX</t>
  </si>
  <si>
    <t>Daniel Patron</t>
  </si>
  <si>
    <t>Daniel PATRON</t>
  </si>
  <si>
    <t>11_001</t>
  </si>
  <si>
    <t>flottaison</t>
  </si>
  <si>
    <t>Données constructeur/propriétaire</t>
  </si>
  <si>
    <r>
      <rPr>
        <b val="1"/>
        <sz val="10"/>
        <color indexed="8"/>
        <rFont val="Arial"/>
      </rPr>
      <t>ORYX</t>
    </r>
  </si>
  <si>
    <t>O'SAISONS O'BATEAUX</t>
  </si>
  <si>
    <t>ELDIR 125</t>
  </si>
  <si>
    <t>ESTUAIRE MARINE</t>
  </si>
  <si>
    <t>Jacques CELLIER</t>
  </si>
  <si>
    <t>Jean-Françaois DARON</t>
  </si>
  <si>
    <t>MultiMalo 2004</t>
  </si>
  <si>
    <t>Poids &amp; spi du plan</t>
  </si>
  <si>
    <r>
      <rPr>
        <b val="1"/>
        <sz val="10"/>
        <color indexed="8"/>
        <rFont val="Arial"/>
      </rPr>
      <t>O'SAISONS O'BATEAUX</t>
    </r>
  </si>
  <si>
    <t>OSTREA</t>
  </si>
  <si>
    <t>FREELY Europa</t>
  </si>
  <si>
    <t>GUYMARINE</t>
  </si>
  <si>
    <r>
      <rPr>
        <b val="1"/>
        <sz val="10"/>
        <color indexed="8"/>
        <rFont val="Arial"/>
      </rPr>
      <t>OSTREA</t>
    </r>
  </si>
  <si>
    <t>OTHRED</t>
  </si>
  <si>
    <t>Georges RICHARD</t>
  </si>
  <si>
    <t>10_025</t>
  </si>
  <si>
    <r>
      <rPr>
        <b val="1"/>
        <sz val="10"/>
        <color indexed="8"/>
        <rFont val="Arial"/>
      </rPr>
      <t>OTHRED</t>
    </r>
  </si>
  <si>
    <t>OUTLAW</t>
  </si>
  <si>
    <t>SPEED 770 modifié</t>
  </si>
  <si>
    <t>Jean COUPIAC</t>
  </si>
  <si>
    <t>,35/1,3</t>
  </si>
  <si>
    <t>Multithaunic 1996</t>
  </si>
  <si>
    <r>
      <rPr>
        <b val="1"/>
        <sz val="10"/>
        <color indexed="8"/>
        <rFont val="Arial"/>
      </rPr>
      <t>OUTLAW</t>
    </r>
  </si>
  <si>
    <t>PAIVANSÄDE</t>
  </si>
  <si>
    <t>R. Laine</t>
  </si>
  <si>
    <t>Jukka Kallio</t>
  </si>
  <si>
    <t>FIN 76</t>
  </si>
  <si>
    <r>
      <rPr>
        <b val="1"/>
        <sz val="10"/>
        <color indexed="8"/>
        <rFont val="Arial"/>
      </rPr>
      <t>PAIVANSÄDE</t>
    </r>
  </si>
  <si>
    <t>PALME D'OR</t>
  </si>
  <si>
    <t>DEVERIN</t>
  </si>
  <si>
    <t>F 21</t>
  </si>
  <si>
    <t>St-Georges de Didonne 99</t>
  </si>
  <si>
    <r>
      <rPr>
        <b val="1"/>
        <sz val="10"/>
        <color indexed="8"/>
        <rFont val="Arial"/>
      </rPr>
      <t>PALME D'OR</t>
    </r>
  </si>
  <si>
    <t>PAPAGAYO</t>
  </si>
  <si>
    <t>Plan CAROFF</t>
  </si>
  <si>
    <t>Caroff</t>
  </si>
  <si>
    <t>Chantier Naval du Lez</t>
  </si>
  <si>
    <t>Pierre VIALE</t>
  </si>
  <si>
    <t>07_011</t>
  </si>
  <si>
    <r>
      <rPr>
        <b val="1"/>
        <sz val="10"/>
        <color indexed="8"/>
        <rFont val="Arial"/>
      </rPr>
      <t>PAPAGAYO</t>
    </r>
  </si>
  <si>
    <t>PARALLELE</t>
  </si>
  <si>
    <t>SYDNEY 900</t>
  </si>
  <si>
    <t>Claude CONSTANT</t>
  </si>
  <si>
    <t>François BROSSARD</t>
  </si>
  <si>
    <t>Spi estimé</t>
  </si>
  <si>
    <r>
      <rPr>
        <b val="1"/>
        <sz val="10"/>
        <color indexed="8"/>
        <rFont val="Arial"/>
      </rPr>
      <t>PARALLELE</t>
    </r>
  </si>
  <si>
    <t>PASSAGER du VENT</t>
  </si>
  <si>
    <t>PUNCH 8,50 proto</t>
  </si>
  <si>
    <t>Harlé</t>
  </si>
  <si>
    <t>Marc Philippe</t>
  </si>
  <si>
    <t>Philippe POLLET</t>
  </si>
  <si>
    <t>07_025</t>
  </si>
  <si>
    <t>,80/1,8</t>
  </si>
  <si>
    <r>
      <rPr>
        <b val="1"/>
        <sz val="10"/>
        <color indexed="8"/>
        <rFont val="Arial"/>
      </rPr>
      <t>PASSAGER du VENT</t>
    </r>
  </si>
  <si>
    <t>PASSIFLORE</t>
  </si>
  <si>
    <t>CORNEEL 26</t>
  </si>
  <si>
    <t>CHALUS</t>
  </si>
  <si>
    <r>
      <rPr>
        <b val="1"/>
        <sz val="10"/>
        <color indexed="8"/>
        <rFont val="Arial"/>
      </rPr>
      <t>PASSIFLORE</t>
    </r>
  </si>
  <si>
    <t>PATFOL</t>
  </si>
  <si>
    <t>KERGOMARD</t>
  </si>
  <si>
    <r>
      <rPr>
        <b val="1"/>
        <sz val="10"/>
        <color indexed="8"/>
        <rFont val="Arial"/>
      </rPr>
      <t>PATFOL</t>
    </r>
  </si>
  <si>
    <t>PETE'S DRAGON</t>
  </si>
  <si>
    <t>JENKINS</t>
  </si>
  <si>
    <t>GER 240</t>
  </si>
  <si>
    <r>
      <rPr>
        <b val="1"/>
        <sz val="10"/>
        <color indexed="8"/>
        <rFont val="Arial"/>
      </rPr>
      <t>PETE'S DRAGON</t>
    </r>
  </si>
  <si>
    <t>PETIT TROT</t>
  </si>
  <si>
    <t>NODDICAT 33</t>
  </si>
  <si>
    <t>CAPPAROS</t>
  </si>
  <si>
    <t>Gils GAYRAUD</t>
  </si>
  <si>
    <r>
      <rPr>
        <b val="1"/>
        <sz val="10"/>
        <color indexed="8"/>
        <rFont val="Arial"/>
      </rPr>
      <t>PETIT TROT</t>
    </r>
  </si>
  <si>
    <t>PHOENIX</t>
  </si>
  <si>
    <t>HUTCHING</t>
  </si>
  <si>
    <r>
      <rPr>
        <b val="1"/>
        <sz val="10"/>
        <color indexed="8"/>
        <rFont val="Arial"/>
      </rPr>
      <t>PHOENIX</t>
    </r>
  </si>
  <si>
    <t>PLAN d'ENFER</t>
  </si>
  <si>
    <t>F 40</t>
  </si>
  <si>
    <t>MONTESINOS 1983</t>
  </si>
  <si>
    <t>Alexxandre BOIVOISIN</t>
  </si>
  <si>
    <t>07_027</t>
  </si>
  <si>
    <t>1,1/1,7</t>
  </si>
  <si>
    <r>
      <rPr>
        <b val="1"/>
        <sz val="10"/>
        <color indexed="8"/>
        <rFont val="Arial"/>
      </rPr>
      <t>PLAN d'ENFER</t>
    </r>
  </si>
  <si>
    <t>PLAY-BOAT</t>
  </si>
  <si>
    <t>Raymond COLE</t>
  </si>
  <si>
    <r>
      <rPr>
        <b val="1"/>
        <sz val="10"/>
        <color indexed="8"/>
        <rFont val="Arial"/>
      </rPr>
      <t>PLAY-BOAT</t>
    </r>
  </si>
  <si>
    <t>PLEÏONE</t>
  </si>
  <si>
    <t>Van Peteghen / Lauriot Prouvost</t>
  </si>
  <si>
    <t>CDIC</t>
  </si>
  <si>
    <t>09_028</t>
  </si>
  <si>
    <r>
      <rPr>
        <b val="1"/>
        <sz val="10"/>
        <color indexed="8"/>
        <rFont val="Arial"/>
      </rPr>
      <t>PLEÏONE</t>
    </r>
  </si>
  <si>
    <t>POHJANTÄHTI</t>
  </si>
  <si>
    <t>Fleuret</t>
  </si>
  <si>
    <t>Pentti Paatola</t>
  </si>
  <si>
    <t>FIN 88</t>
  </si>
  <si>
    <t>Markku Silvonen</t>
  </si>
  <si>
    <r>
      <rPr>
        <b val="1"/>
        <sz val="10"/>
        <color indexed="8"/>
        <rFont val="Arial"/>
      </rPr>
      <t>POHJANTÄHTI</t>
    </r>
  </si>
  <si>
    <t>POLTIKITAC</t>
  </si>
  <si>
    <t>Jacques CHEMIN</t>
  </si>
  <si>
    <t>La Gascogne-Asturias 2004</t>
  </si>
  <si>
    <r>
      <rPr>
        <b val="1"/>
        <sz val="10"/>
        <color indexed="8"/>
        <rFont val="Arial"/>
      </rPr>
      <t>POLTIKITAC</t>
    </r>
  </si>
  <si>
    <t>PRIM</t>
  </si>
  <si>
    <t>EVRARD</t>
  </si>
  <si>
    <r>
      <rPr>
        <b val="1"/>
        <sz val="10"/>
        <color indexed="8"/>
        <rFont val="Arial"/>
      </rPr>
      <t>PRIM</t>
    </r>
  </si>
  <si>
    <t>PR TOURNESOL</t>
  </si>
  <si>
    <t>CN LABBE</t>
  </si>
  <si>
    <t>Pierre LE BORGNE</t>
  </si>
  <si>
    <t>09_007</t>
  </si>
  <si>
    <t>F 216 M</t>
  </si>
  <si>
    <r>
      <rPr>
        <b val="1"/>
        <sz val="10"/>
        <color indexed="8"/>
        <rFont val="Arial"/>
      </rPr>
      <t>PR TOURNESOL</t>
    </r>
  </si>
  <si>
    <t>PULSION</t>
  </si>
  <si>
    <t>BRUGERE</t>
  </si>
  <si>
    <t>La Rochelle 1997</t>
  </si>
  <si>
    <t>Certificat F28, doute sur spi ou gennaker</t>
  </si>
  <si>
    <r>
      <rPr>
        <b val="1"/>
        <sz val="10"/>
        <color indexed="8"/>
        <rFont val="Arial"/>
      </rPr>
      <t>PULSION</t>
    </r>
  </si>
  <si>
    <t>QUEEN OF PENTHOUILL</t>
  </si>
  <si>
    <t>CONCEPT 26</t>
  </si>
  <si>
    <t>START</t>
  </si>
  <si>
    <t>Alain VEYRON</t>
  </si>
  <si>
    <t>Pesée TALENCE</t>
  </si>
  <si>
    <r>
      <rPr>
        <b val="1"/>
        <sz val="10"/>
        <color indexed="8"/>
        <rFont val="Arial"/>
      </rPr>
      <t>QUEEN OF PENTHOUILL</t>
    </r>
  </si>
  <si>
    <t>QUETZAL</t>
  </si>
  <si>
    <t>proto</t>
  </si>
  <si>
    <t>LE GUEN</t>
  </si>
  <si>
    <t>FOURNIER</t>
  </si>
  <si>
    <t>F 181 M</t>
  </si>
  <si>
    <t>Doute sur longueur</t>
  </si>
  <si>
    <r>
      <rPr>
        <b val="1"/>
        <sz val="10"/>
        <color indexed="8"/>
        <rFont val="Arial"/>
      </rPr>
      <t>QUETZAL</t>
    </r>
  </si>
  <si>
    <t>QUICKLY-TWO</t>
  </si>
  <si>
    <t>Ph, LEFROID</t>
  </si>
  <si>
    <t>Doute sur poids, pas de spi?</t>
  </si>
  <si>
    <r>
      <rPr>
        <b val="1"/>
        <sz val="10"/>
        <color indexed="8"/>
        <rFont val="Arial"/>
      </rPr>
      <t>QUICKLY-TWO</t>
    </r>
  </si>
  <si>
    <t>RACKHAM</t>
  </si>
  <si>
    <t>HARIN</t>
  </si>
  <si>
    <t>,57/2,42</t>
  </si>
  <si>
    <t>La Rochelle-Giron 2002</t>
  </si>
  <si>
    <t>Vérifier franc-bord et voiles légères</t>
  </si>
  <si>
    <r>
      <rPr>
        <b val="1"/>
        <sz val="10"/>
        <color indexed="8"/>
        <rFont val="Arial"/>
      </rPr>
      <t>RACKHAM</t>
    </r>
  </si>
  <si>
    <t>RACKAM</t>
  </si>
  <si>
    <t>Rackam 26 Wing</t>
  </si>
  <si>
    <t>Trégor &lt;Composites</t>
  </si>
  <si>
    <t>Roger THIERRY</t>
  </si>
  <si>
    <t>10_027</t>
  </si>
  <si>
    <t>FRA 37319</t>
  </si>
  <si>
    <r>
      <rPr>
        <b val="1"/>
        <sz val="10"/>
        <color indexed="8"/>
        <rFont val="Arial"/>
      </rPr>
      <t>RACKAM</t>
    </r>
  </si>
  <si>
    <t>RAYON VERT</t>
  </si>
  <si>
    <t>Pulsar 50</t>
  </si>
  <si>
    <t>Henri OLIGNI</t>
  </si>
  <si>
    <t>,66/3,08</t>
  </si>
  <si>
    <r>
      <rPr>
        <b val="1"/>
        <sz val="10"/>
        <color indexed="8"/>
        <rFont val="Arial"/>
      </rPr>
      <t>RAYON VERT</t>
    </r>
  </si>
  <si>
    <t>RED RACKHAM</t>
  </si>
  <si>
    <t>RACKHAM 26</t>
  </si>
  <si>
    <t>COMOTECH</t>
  </si>
  <si>
    <t>Pesée MAÏA</t>
  </si>
  <si>
    <r>
      <rPr>
        <b val="1"/>
        <sz val="10"/>
        <color indexed="8"/>
        <rFont val="Arial"/>
      </rPr>
      <t>RED RACKHAM</t>
    </r>
  </si>
  <si>
    <t>RENTAFLY</t>
  </si>
  <si>
    <t>BUVALDA</t>
  </si>
  <si>
    <t>H 259</t>
  </si>
  <si>
    <r>
      <rPr>
        <b val="1"/>
        <sz val="10"/>
        <color indexed="8"/>
        <rFont val="Arial"/>
      </rPr>
      <t>RENTAFLY</t>
    </r>
  </si>
  <si>
    <t>RESTABERN</t>
  </si>
  <si>
    <t>STRATO Compo</t>
  </si>
  <si>
    <t>Jean-Christophe LAIR</t>
  </si>
  <si>
    <t>08_017</t>
  </si>
  <si>
    <t>FRA 35976</t>
  </si>
  <si>
    <t>,30/1,64</t>
  </si>
  <si>
    <r>
      <rPr>
        <b val="1"/>
        <sz val="10"/>
        <color indexed="8"/>
        <rFont val="Arial"/>
      </rPr>
      <t>RESTABERN</t>
    </r>
  </si>
  <si>
    <t>RISSA</t>
  </si>
  <si>
    <t>CANNINGA</t>
  </si>
  <si>
    <r>
      <rPr>
        <b val="1"/>
        <sz val="10"/>
        <color indexed="8"/>
        <rFont val="Arial"/>
      </rPr>
      <t>RISSA</t>
    </r>
  </si>
  <si>
    <t>ROBROY 3</t>
  </si>
  <si>
    <t>Catana 531</t>
  </si>
  <si>
    <t>Michel BUFFET</t>
  </si>
  <si>
    <t>10_029</t>
  </si>
  <si>
    <t>FRA 37321</t>
  </si>
  <si>
    <t>X</t>
  </si>
  <si>
    <t>0,90/2,30</t>
  </si>
  <si>
    <r>
      <rPr>
        <b val="1"/>
        <sz val="10"/>
        <color indexed="8"/>
        <rFont val="Arial"/>
      </rPr>
      <t>ROBROY 3</t>
    </r>
  </si>
  <si>
    <t>ROCK'N'ROLL</t>
  </si>
  <si>
    <t>RAID RIDER 26</t>
  </si>
  <si>
    <t>Olivier RICHE</t>
  </si>
  <si>
    <t>RAID</t>
  </si>
  <si>
    <r>
      <rPr>
        <b val="1"/>
        <sz val="10"/>
        <color indexed="8"/>
        <rFont val="Arial"/>
      </rPr>
      <t>ROCK'N'ROLL</t>
    </r>
  </si>
  <si>
    <t>ROM</t>
  </si>
  <si>
    <t>PRUNIER</t>
  </si>
  <si>
    <t>Alain DELHUMEAU</t>
  </si>
  <si>
    <t>,7/2,10</t>
  </si>
  <si>
    <t>La Gascogne-Asturias 2006</t>
  </si>
  <si>
    <r>
      <rPr>
        <b val="1"/>
        <sz val="10"/>
        <color indexed="8"/>
        <rFont val="Arial"/>
      </rPr>
      <t>ROM</t>
    </r>
  </si>
  <si>
    <t>ROSVO ROOPE III</t>
  </si>
  <si>
    <t>PIETIENEN</t>
  </si>
  <si>
    <t>Martin HILDEBRAND</t>
  </si>
  <si>
    <t>L 86</t>
  </si>
  <si>
    <r>
      <rPr>
        <b val="1"/>
        <sz val="10"/>
        <color indexed="8"/>
        <rFont val="Arial"/>
      </rPr>
      <t>ROSVO ROOPE III</t>
    </r>
  </si>
  <si>
    <t>RUNAWAY</t>
  </si>
  <si>
    <t>VEYNEN</t>
  </si>
  <si>
    <t>NED 80M</t>
  </si>
  <si>
    <r>
      <rPr>
        <b val="1"/>
        <sz val="10"/>
        <color indexed="8"/>
        <rFont val="Arial"/>
      </rPr>
      <t>RUNAWAY</t>
    </r>
  </si>
  <si>
    <t>SADKO</t>
  </si>
  <si>
    <t>Bruno CHEVALIER</t>
  </si>
  <si>
    <t>10_006</t>
  </si>
  <si>
    <r>
      <rPr>
        <b val="1"/>
        <sz val="10"/>
        <color indexed="8"/>
        <rFont val="Arial"/>
      </rPr>
      <t>SADKO</t>
    </r>
  </si>
  <si>
    <t>SAÏGON</t>
  </si>
  <si>
    <t>F 24 MK II</t>
  </si>
  <si>
    <t>Jérôme GALVAING</t>
  </si>
  <si>
    <t>08_029</t>
  </si>
  <si>
    <t>0,31/1,36</t>
  </si>
  <si>
    <t>Poids pris sur TRICERATOPS</t>
  </si>
  <si>
    <r>
      <rPr>
        <b val="1"/>
        <sz val="10"/>
        <color indexed="8"/>
        <rFont val="Arial"/>
      </rPr>
      <t>SAÏGON</t>
    </r>
  </si>
  <si>
    <t>SARAVA</t>
  </si>
  <si>
    <t>DRAGONFLY 920</t>
  </si>
  <si>
    <t>Arnaud Van den BROEK</t>
  </si>
  <si>
    <t>Mat rotatif? Longueur tangon?</t>
  </si>
  <si>
    <r>
      <rPr>
        <b val="1"/>
        <sz val="10"/>
        <color indexed="8"/>
        <rFont val="Arial"/>
      </rPr>
      <t>SARAVA</t>
    </r>
  </si>
  <si>
    <t>SCARAB</t>
  </si>
  <si>
    <t>Scarab</t>
  </si>
  <si>
    <t>Karpio</t>
  </si>
  <si>
    <t>Kari Karpio</t>
  </si>
  <si>
    <t>FIN 87</t>
  </si>
  <si>
    <r>
      <rPr>
        <b val="1"/>
        <sz val="10"/>
        <color indexed="8"/>
        <rFont val="Arial"/>
      </rPr>
      <t>SCARAB</t>
    </r>
  </si>
  <si>
    <t>SCOOBY II</t>
  </si>
  <si>
    <t>F 307 M</t>
  </si>
  <si>
    <t>Ile aux Moines 2000</t>
  </si>
  <si>
    <t>D'après certificat IMMCA TRIPPER</t>
  </si>
  <si>
    <r>
      <rPr>
        <b val="1"/>
        <sz val="10"/>
        <color indexed="8"/>
        <rFont val="Arial"/>
      </rPr>
      <t>SCOOBY II</t>
    </r>
  </si>
  <si>
    <t>SCOOBY III</t>
  </si>
  <si>
    <r>
      <rPr>
        <b val="1"/>
        <sz val="10"/>
        <color indexed="8"/>
        <rFont val="Arial"/>
      </rPr>
      <t>SCOOBY III</t>
    </r>
  </si>
  <si>
    <t>SELINA</t>
  </si>
  <si>
    <t>Buccaneer 32</t>
  </si>
  <si>
    <t>Crowther</t>
  </si>
  <si>
    <t>Oiva Kaipio</t>
  </si>
  <si>
    <t>Berit Stellberg</t>
  </si>
  <si>
    <t>FIN 34</t>
  </si>
  <si>
    <r>
      <rPr>
        <b val="1"/>
        <sz val="10"/>
        <color indexed="8"/>
        <rFont val="Arial"/>
      </rPr>
      <t>SELINA</t>
    </r>
  </si>
  <si>
    <t>SHADOWFAX</t>
  </si>
  <si>
    <t>F27 Formula</t>
  </si>
  <si>
    <t>Pierrick PEDRON</t>
  </si>
  <si>
    <t>10_014</t>
  </si>
  <si>
    <t>FRA 34619</t>
  </si>
  <si>
    <t>Triangles olympiques Antibes 2007</t>
  </si>
  <si>
    <t>Données incomplètes complétées par autres F 27</t>
  </si>
  <si>
    <r>
      <rPr>
        <b val="1"/>
        <sz val="10"/>
        <color indexed="8"/>
        <rFont val="Arial"/>
      </rPr>
      <t>SHADOWFAX</t>
    </r>
  </si>
  <si>
    <t>SHOCKWAVE</t>
  </si>
  <si>
    <t>Multimance 01</t>
  </si>
  <si>
    <r>
      <rPr>
        <b val="1"/>
        <sz val="10"/>
        <color indexed="8"/>
        <rFont val="Arial"/>
      </rPr>
      <t>SHOCKWAVE</t>
    </r>
  </si>
  <si>
    <t>SIG45</t>
  </si>
  <si>
    <t>Sig 45</t>
  </si>
  <si>
    <t>VPLP</t>
  </si>
  <si>
    <t>Lebreton Yachts</t>
  </si>
  <si>
    <t>Aldéba SA</t>
  </si>
  <si>
    <t>10_004</t>
  </si>
  <si>
    <t>SIG 45</t>
  </si>
  <si>
    <r>
      <rPr>
        <b val="1"/>
        <sz val="10"/>
        <color indexed="8"/>
        <rFont val="Arial"/>
      </rPr>
      <t>SIG45</t>
    </r>
  </si>
  <si>
    <t>SINGAROA III</t>
  </si>
  <si>
    <t>OUTREMER 40</t>
  </si>
  <si>
    <t>Udo GABBERT</t>
  </si>
  <si>
    <t>,75/2</t>
  </si>
  <si>
    <r>
      <rPr>
        <b val="1"/>
        <sz val="10"/>
        <color indexed="8"/>
        <rFont val="Arial"/>
      </rPr>
      <t>SINGAROA III</t>
    </r>
  </si>
  <si>
    <t>SINOA</t>
  </si>
  <si>
    <t>Robert APERY</t>
  </si>
  <si>
    <r>
      <rPr>
        <b val="1"/>
        <sz val="10"/>
        <color indexed="8"/>
        <rFont val="Arial"/>
      </rPr>
      <t>SINOA</t>
    </r>
  </si>
  <si>
    <t>SIRIUS</t>
  </si>
  <si>
    <t>TANGO 32</t>
  </si>
  <si>
    <t>Jacques KERNEIS</t>
  </si>
  <si>
    <t>,6/1,8</t>
  </si>
  <si>
    <r>
      <rPr>
        <b val="1"/>
        <sz val="10"/>
        <color indexed="8"/>
        <rFont val="Arial"/>
      </rPr>
      <t>SIRIUS</t>
    </r>
  </si>
  <si>
    <t>SKAT</t>
  </si>
  <si>
    <t>TIKI 26</t>
  </si>
  <si>
    <t>James WHARRAM</t>
  </si>
  <si>
    <t>Dave YETTRAM</t>
  </si>
  <si>
    <t>Selon TEXEL. Spi estimé à 120%</t>
  </si>
  <si>
    <r>
      <rPr>
        <b val="1"/>
        <sz val="10"/>
        <color indexed="8"/>
        <rFont val="Arial"/>
      </rPr>
      <t>SKAT</t>
    </r>
  </si>
  <si>
    <t>SMOKEY BEAR</t>
  </si>
  <si>
    <t>Robert WHALLEY</t>
  </si>
  <si>
    <t>,36/1,5</t>
  </si>
  <si>
    <t>D'aprés certificat MOCRA Tryptich</t>
  </si>
  <si>
    <r>
      <rPr>
        <b val="1"/>
        <sz val="10"/>
        <color indexed="8"/>
        <rFont val="Arial"/>
      </rPr>
      <t>SMOKEY BEAR</t>
    </r>
  </si>
  <si>
    <t>SNUITER</t>
  </si>
  <si>
    <t>GRAINGER 26</t>
  </si>
  <si>
    <t>GRAINGER</t>
  </si>
  <si>
    <t>RHEBERGEN</t>
  </si>
  <si>
    <t>Cees VISSER</t>
  </si>
  <si>
    <t>NED 17M</t>
  </si>
  <si>
    <r>
      <rPr>
        <b val="1"/>
        <sz val="10"/>
        <color indexed="8"/>
        <rFont val="Arial"/>
      </rPr>
      <t>SNUITER</t>
    </r>
  </si>
  <si>
    <t>SOOTY</t>
  </si>
  <si>
    <t>TOBIN</t>
  </si>
  <si>
    <t>Royan 1996</t>
  </si>
  <si>
    <r>
      <rPr>
        <b val="1"/>
        <sz val="10"/>
        <color indexed="8"/>
        <rFont val="Arial"/>
      </rPr>
      <t>SOOTY</t>
    </r>
  </si>
  <si>
    <t>SPARKS</t>
  </si>
  <si>
    <t>QUEST 31</t>
  </si>
  <si>
    <t>SCHAAFSMA</t>
  </si>
  <si>
    <t>Certificat TEXCEL</t>
  </si>
  <si>
    <r>
      <rPr>
        <b val="1"/>
        <sz val="10"/>
        <color indexed="8"/>
        <rFont val="Arial"/>
      </rPr>
      <t>SPARKS</t>
    </r>
  </si>
  <si>
    <t>SPEEDY</t>
  </si>
  <si>
    <t>MY-CAT</t>
  </si>
  <si>
    <t>Lars OUDRUP</t>
  </si>
  <si>
    <t>Ernest STEINBERG</t>
  </si>
  <si>
    <t>Multithaunic 1997</t>
  </si>
  <si>
    <t>d'après jauge IMMCA</t>
  </si>
  <si>
    <r>
      <rPr>
        <b val="1"/>
        <sz val="10"/>
        <color indexed="8"/>
        <rFont val="Arial"/>
      </rPr>
      <t>SPEEDY</t>
    </r>
  </si>
  <si>
    <t>SPIRIT OF PEN THOUIL</t>
  </si>
  <si>
    <t>CAT MARINE</t>
  </si>
  <si>
    <t>VEYRON/BRIGNON</t>
  </si>
  <si>
    <t>,35/1,75</t>
  </si>
  <si>
    <r>
      <rPr>
        <b val="1"/>
        <sz val="10"/>
        <color indexed="8"/>
        <rFont val="Arial"/>
      </rPr>
      <t>SPIRIT OF PEN THOUIL</t>
    </r>
  </si>
  <si>
    <t>SPUTNIK</t>
  </si>
  <si>
    <t>TELSTAR</t>
  </si>
  <si>
    <t>Tony SMITH</t>
  </si>
  <si>
    <t>A.J.S.</t>
  </si>
  <si>
    <t>Roderick WALKER</t>
  </si>
  <si>
    <t>,45/1,4</t>
  </si>
  <si>
    <r>
      <rPr>
        <b val="1"/>
        <sz val="10"/>
        <color indexed="8"/>
        <rFont val="Arial"/>
      </rPr>
      <t>SPUTNIK</t>
    </r>
  </si>
  <si>
    <t>SPYCA</t>
  </si>
  <si>
    <t>NAUTITECH 435</t>
  </si>
  <si>
    <t>Jacques GIRARDIN</t>
  </si>
  <si>
    <r>
      <rPr>
        <b val="1"/>
        <sz val="10"/>
        <color indexed="8"/>
        <rFont val="Arial"/>
      </rPr>
      <t>SPYCA</t>
    </r>
  </si>
  <si>
    <t>STEADY EDDY</t>
  </si>
  <si>
    <t>Justin HORTON</t>
  </si>
  <si>
    <t>Doute sur poids, jupe allongée</t>
  </si>
  <si>
    <r>
      <rPr>
        <b val="1"/>
        <sz val="10"/>
        <color indexed="8"/>
        <rFont val="Arial"/>
      </rPr>
      <t>STEADY EDDY</t>
    </r>
  </si>
  <si>
    <t>STERENN</t>
  </si>
  <si>
    <t>Yves LE COZ</t>
  </si>
  <si>
    <t>09_023</t>
  </si>
  <si>
    <t>FRA 37266</t>
  </si>
  <si>
    <t>comparaison SINOA et Dune</t>
  </si>
  <si>
    <r>
      <rPr>
        <b val="1"/>
        <sz val="10"/>
        <color indexed="8"/>
        <rFont val="Arial"/>
      </rPr>
      <t>STERENN</t>
    </r>
  </si>
  <si>
    <t>STEVECO WIND</t>
  </si>
  <si>
    <t>Proa</t>
  </si>
  <si>
    <t>Kurt Hughes</t>
  </si>
  <si>
    <t>Haminan puuveneopisto</t>
  </si>
  <si>
    <t>(proa) 2</t>
  </si>
  <si>
    <r>
      <rPr>
        <b val="1"/>
        <sz val="10"/>
        <color indexed="8"/>
        <rFont val="Arial"/>
      </rPr>
      <t>STEVECO WIND</t>
    </r>
  </si>
  <si>
    <t>STRATOSPHERE</t>
  </si>
  <si>
    <t>Laurent Von SAENGER</t>
  </si>
  <si>
    <t>10_013</t>
  </si>
  <si>
    <t>FRA 34626</t>
  </si>
  <si>
    <r>
      <rPr>
        <b val="1"/>
        <sz val="10"/>
        <color indexed="8"/>
        <rFont val="Arial"/>
      </rPr>
      <t>STRATOSPHERE</t>
    </r>
  </si>
  <si>
    <t>STRINKER MOR</t>
  </si>
  <si>
    <t>Pierrick Le BAYEC</t>
  </si>
  <si>
    <t>08_028</t>
  </si>
  <si>
    <r>
      <rPr>
        <b val="1"/>
        <sz val="10"/>
        <color indexed="8"/>
        <rFont val="Arial"/>
      </rPr>
      <t>STRINKER MOR</t>
    </r>
  </si>
  <si>
    <t>SUNBEAM</t>
  </si>
  <si>
    <t>KELSALL 30</t>
  </si>
  <si>
    <t>Dereck KELSALL</t>
  </si>
  <si>
    <t>Andy TIPPING</t>
  </si>
  <si>
    <t>D'après rating TEXCEL, tirant d'eau + spi estimés</t>
  </si>
  <si>
    <r>
      <rPr>
        <b val="1"/>
        <sz val="10"/>
        <color indexed="8"/>
        <rFont val="Arial"/>
      </rPr>
      <t>SUNBEAM</t>
    </r>
  </si>
  <si>
    <t>SUN SIARE</t>
  </si>
  <si>
    <t>PUNCH 1000</t>
  </si>
  <si>
    <t>Jean-Claude LHOSPITAL</t>
  </si>
  <si>
    <t>08_010</t>
  </si>
  <si>
    <r>
      <rPr>
        <b val="1"/>
        <sz val="10"/>
        <color indexed="8"/>
        <rFont val="Arial"/>
      </rPr>
      <t>SUN SIARE</t>
    </r>
  </si>
  <si>
    <t>SUPER FUN</t>
  </si>
  <si>
    <t>STILETTO 23</t>
  </si>
  <si>
    <t>Peter WORMWOOD</t>
  </si>
  <si>
    <t>FORCE Engeneering</t>
  </si>
  <si>
    <t>SIBUET</t>
  </si>
  <si>
    <t>Manque le spi</t>
  </si>
  <si>
    <r>
      <rPr>
        <b val="1"/>
        <sz val="10"/>
        <color indexed="8"/>
        <rFont val="Arial"/>
      </rPr>
      <t>SUPER FUN</t>
    </r>
  </si>
  <si>
    <t>SURFING ENTERPRISE</t>
  </si>
  <si>
    <t>Christopher von BERLEPSCH</t>
  </si>
  <si>
    <t>D'après rating Mavie</t>
  </si>
  <si>
    <r>
      <rPr>
        <b val="1"/>
        <sz val="10"/>
        <color indexed="8"/>
        <rFont val="Arial"/>
      </rPr>
      <t>SURFING ENTERPRISE</t>
    </r>
  </si>
  <si>
    <t>SYLVIA</t>
  </si>
  <si>
    <r>
      <rPr>
        <b val="1"/>
        <sz val="10"/>
        <color indexed="8"/>
        <rFont val="Arial"/>
      </rPr>
      <t>SYLVIA</t>
    </r>
  </si>
  <si>
    <t>TALENCE-AQUITAINE</t>
  </si>
  <si>
    <t>CONCEPT Micro</t>
  </si>
  <si>
    <t>0,26/1,64</t>
  </si>
  <si>
    <t>Certificat IMMCA, mât fixe</t>
  </si>
  <si>
    <r>
      <rPr>
        <b val="1"/>
        <sz val="10"/>
        <color indexed="8"/>
        <rFont val="Arial"/>
      </rPr>
      <t>TALENCE-AQUITAINE</t>
    </r>
  </si>
  <si>
    <t>Van PETEGHEM/LAURIOT-PREVOT</t>
  </si>
  <si>
    <t>09_024</t>
  </si>
  <si>
    <t>F 306 M</t>
  </si>
  <si>
    <t>TALI</t>
  </si>
  <si>
    <t>Gainza-Cruguel</t>
  </si>
  <si>
    <t>Stephane LE CRUGUEL</t>
  </si>
  <si>
    <t>10_023</t>
  </si>
  <si>
    <t>Tour Belle-île 2010</t>
  </si>
  <si>
    <r>
      <rPr>
        <b val="1"/>
        <sz val="10"/>
        <color indexed="8"/>
        <rFont val="Arial"/>
      </rPr>
      <t>TALI</t>
    </r>
  </si>
  <si>
    <t>TANCREDE</t>
  </si>
  <si>
    <t>NORMANI 34</t>
  </si>
  <si>
    <t>MCF</t>
  </si>
  <si>
    <t>Joël MALARDEL</t>
  </si>
  <si>
    <t>08_012</t>
  </si>
  <si>
    <t>F 308 M</t>
  </si>
  <si>
    <t>,47/2</t>
  </si>
  <si>
    <t>Tour de Ré 2006</t>
  </si>
  <si>
    <t>pesée IRC</t>
  </si>
  <si>
    <t>Certificat Mocra modifié 2005</t>
  </si>
  <si>
    <r>
      <rPr>
        <b val="1"/>
        <sz val="10"/>
        <color indexed="8"/>
        <rFont val="Arial"/>
      </rPr>
      <t>TANCREDE</t>
    </r>
  </si>
  <si>
    <t>TARANTELLA</t>
  </si>
  <si>
    <r>
      <rPr>
        <b val="1"/>
        <sz val="10"/>
        <color indexed="8"/>
        <rFont val="Arial"/>
      </rPr>
      <t>TARANTELLA</t>
    </r>
  </si>
  <si>
    <t>TARATATA</t>
  </si>
  <si>
    <t>Van Peteghem- Lauriot Prouvost</t>
  </si>
  <si>
    <t>François PONT</t>
  </si>
  <si>
    <t>09_003</t>
  </si>
  <si>
    <t>FRA 37253</t>
  </si>
  <si>
    <t>0,4/1,34</t>
  </si>
  <si>
    <r>
      <rPr>
        <b val="1"/>
        <sz val="10"/>
        <color indexed="8"/>
        <rFont val="Arial"/>
      </rPr>
      <t>TARATATA</t>
    </r>
  </si>
  <si>
    <t>TERANGA</t>
  </si>
  <si>
    <t>CORSAIR 37 RS</t>
  </si>
  <si>
    <t>09_013</t>
  </si>
  <si>
    <t>0,5/1,3</t>
  </si>
  <si>
    <t>MULTIMED 2009</t>
  </si>
  <si>
    <r>
      <rPr>
        <b val="1"/>
        <sz val="10"/>
        <color indexed="8"/>
        <rFont val="Arial"/>
      </rPr>
      <t>TERANGA</t>
    </r>
  </si>
  <si>
    <t>THOMAS 1</t>
  </si>
  <si>
    <t>NAUTITECH 395</t>
  </si>
  <si>
    <t>Stéphane DI ROCCO</t>
  </si>
  <si>
    <t>10_011</t>
  </si>
  <si>
    <t>FRA 37315</t>
  </si>
  <si>
    <r>
      <rPr>
        <b val="1"/>
        <sz val="10"/>
        <color indexed="8"/>
        <rFont val="Arial"/>
      </rPr>
      <t>THOMAS 1</t>
    </r>
  </si>
  <si>
    <t>THON L'ENFER</t>
  </si>
  <si>
    <t>DUVEZIN</t>
  </si>
  <si>
    <t>Tirant d'eau et gréement estimés</t>
  </si>
  <si>
    <t>Nouveau gréement</t>
  </si>
  <si>
    <r>
      <rPr>
        <b val="1"/>
        <sz val="10"/>
        <color indexed="8"/>
        <rFont val="Arial"/>
      </rPr>
      <t>THON L'ENFER</t>
    </r>
  </si>
  <si>
    <t>TICKLED PINK</t>
  </si>
  <si>
    <t>NINJA 8</t>
  </si>
  <si>
    <t>LIGONNET/CHAUNUS</t>
  </si>
  <si>
    <t>Darren NEWTON</t>
  </si>
  <si>
    <t>Jean-Louis LIGONNET</t>
  </si>
  <si>
    <t>GBR 599M</t>
  </si>
  <si>
    <r>
      <rPr>
        <b val="1"/>
        <sz val="10"/>
        <color indexed="8"/>
        <rFont val="Arial"/>
      </rPr>
      <t>TICKLED PINK</t>
    </r>
  </si>
  <si>
    <t>TILIKUM</t>
  </si>
  <si>
    <t>FUGUE 12m modifié</t>
  </si>
  <si>
    <t>Georges AUZEPY-BRENNEUR</t>
  </si>
  <si>
    <t>SAPO</t>
  </si>
  <si>
    <t>,58/2,6</t>
  </si>
  <si>
    <r>
      <rPr>
        <b val="1"/>
        <sz val="10"/>
        <color indexed="8"/>
        <rFont val="Arial"/>
      </rPr>
      <t>TILIKUM</t>
    </r>
  </si>
  <si>
    <t>TOI et MOI</t>
  </si>
  <si>
    <t>Michel FORTINI</t>
  </si>
  <si>
    <t>09_008</t>
  </si>
  <si>
    <r>
      <rPr>
        <b val="1"/>
        <sz val="10"/>
        <color indexed="8"/>
        <rFont val="Arial"/>
      </rPr>
      <t>TOI et MOI</t>
    </r>
  </si>
  <si>
    <t>TOOPS</t>
  </si>
  <si>
    <t>Hervé GILLET</t>
  </si>
  <si>
    <t>D'aprés jauge TEXEL Opus IV</t>
  </si>
  <si>
    <r>
      <rPr>
        <b val="1"/>
        <sz val="10"/>
        <color indexed="8"/>
        <rFont val="Arial"/>
      </rPr>
      <t>TOOPS</t>
    </r>
  </si>
  <si>
    <t>TRIBULL</t>
  </si>
  <si>
    <t>Expoder 25</t>
  </si>
  <si>
    <t>Wojciech Kaliski</t>
  </si>
  <si>
    <t>Partycki</t>
  </si>
  <si>
    <t>Gwenc'hlan CATHERINE</t>
  </si>
  <si>
    <t>10_024</t>
  </si>
  <si>
    <t>POL 444</t>
  </si>
  <si>
    <r>
      <rPr>
        <b val="1"/>
        <sz val="10"/>
        <color indexed="8"/>
        <rFont val="Arial"/>
      </rPr>
      <t>TRIBULL</t>
    </r>
  </si>
  <si>
    <t>TRICETERATOPS</t>
  </si>
  <si>
    <r>
      <rPr>
        <b val="1"/>
        <sz val="10"/>
        <color indexed="8"/>
        <rFont val="Arial"/>
      </rPr>
      <t>TRICETERATOPS</t>
    </r>
  </si>
  <si>
    <t>TRICKY</t>
  </si>
  <si>
    <t>COUPIZE</t>
  </si>
  <si>
    <t>Tirant d'eau estimé, doute sur spi</t>
  </si>
  <si>
    <r>
      <rPr>
        <b val="1"/>
        <sz val="10"/>
        <color indexed="8"/>
        <rFont val="Arial"/>
      </rPr>
      <t>TRICKY</t>
    </r>
  </si>
  <si>
    <t>TRIDENT</t>
  </si>
  <si>
    <t>BEERS</t>
  </si>
  <si>
    <t>Certificat TEXEL</t>
  </si>
  <si>
    <r>
      <rPr>
        <b val="1"/>
        <sz val="10"/>
        <color indexed="8"/>
        <rFont val="Arial"/>
      </rPr>
      <t>TRIDENT</t>
    </r>
  </si>
  <si>
    <t>TRIGON</t>
  </si>
  <si>
    <t>One-Off 39</t>
  </si>
  <si>
    <t>Pekka Miettinen</t>
  </si>
  <si>
    <t>FIN 32</t>
  </si>
  <si>
    <r>
      <rPr>
        <b val="1"/>
        <sz val="10"/>
        <color indexed="8"/>
        <rFont val="Arial"/>
      </rPr>
      <t>TRIGON</t>
    </r>
  </si>
  <si>
    <t>TRI GOUEL</t>
  </si>
  <si>
    <t>Trimaran AM 29</t>
  </si>
  <si>
    <t>Mark KETTERING</t>
  </si>
  <si>
    <t>Multisailing International</t>
  </si>
  <si>
    <t>Damien BASSI</t>
  </si>
  <si>
    <t>09_006</t>
  </si>
  <si>
    <t>FRA 37257</t>
  </si>
  <si>
    <r>
      <rPr>
        <b val="1"/>
        <sz val="10"/>
        <color indexed="8"/>
        <rFont val="Arial"/>
      </rPr>
      <t>TRI GOUEL</t>
    </r>
  </si>
  <si>
    <t>TRILOGIC</t>
  </si>
  <si>
    <t>Proto Class 50</t>
  </si>
  <si>
    <t>Eric BRUNEEL</t>
  </si>
  <si>
    <r>
      <rPr>
        <b val="1"/>
        <sz val="10"/>
        <color indexed="8"/>
        <rFont val="Arial"/>
      </rPr>
      <t>TRILOGIC</t>
    </r>
  </si>
  <si>
    <t>TRI MARRANT</t>
  </si>
  <si>
    <t>Astus 20,1</t>
  </si>
  <si>
    <t>Renaud SAUVIGNARD</t>
  </si>
  <si>
    <t>10_019</t>
  </si>
  <si>
    <r>
      <rPr>
        <b val="1"/>
        <sz val="10"/>
        <color indexed="8"/>
        <rFont val="Arial"/>
      </rPr>
      <t>TRI MARRANT</t>
    </r>
  </si>
  <si>
    <t>TRIMIE</t>
  </si>
  <si>
    <t>Dragonfly 25</t>
  </si>
  <si>
    <t>Jaakko Lipasti</t>
  </si>
  <si>
    <t>FIN 77</t>
  </si>
  <si>
    <r>
      <rPr>
        <b val="1"/>
        <sz val="10"/>
        <color indexed="8"/>
        <rFont val="Arial"/>
      </rPr>
      <t>TRIMIE</t>
    </r>
  </si>
  <si>
    <t>TRINITRINE</t>
  </si>
  <si>
    <t>Thomas VEYRON</t>
  </si>
  <si>
    <t>Philippe FABRE</t>
  </si>
  <si>
    <t>/1,2</t>
  </si>
  <si>
    <r>
      <rPr>
        <b val="1"/>
        <sz val="10"/>
        <color indexed="8"/>
        <rFont val="Arial"/>
      </rPr>
      <t>TRINITRINE</t>
    </r>
  </si>
  <si>
    <t>TRIOLA</t>
  </si>
  <si>
    <t>FREELY 8m</t>
  </si>
  <si>
    <t>J.M. ROUX</t>
  </si>
  <si>
    <t>Poids sous estimé, voiles bizarres</t>
  </si>
  <si>
    <r>
      <rPr>
        <b val="1"/>
        <sz val="10"/>
        <color indexed="8"/>
        <rFont val="Arial"/>
      </rPr>
      <t>TRIOLA</t>
    </r>
  </si>
  <si>
    <t>TRIONA</t>
  </si>
  <si>
    <t>Trident 27</t>
  </si>
  <si>
    <t>Anita &amp; Carl-Olof Granfelt</t>
  </si>
  <si>
    <t>FIN 38</t>
  </si>
  <si>
    <t>Pesée 1986</t>
  </si>
  <si>
    <r>
      <rPr>
        <b val="1"/>
        <sz val="10"/>
        <color indexed="8"/>
        <rFont val="Arial"/>
      </rPr>
      <t>TRIONA</t>
    </r>
  </si>
  <si>
    <t>TRIPLE X</t>
  </si>
  <si>
    <t>Tony FOWLER</t>
  </si>
  <si>
    <r>
      <rPr>
        <b val="1"/>
        <sz val="10"/>
        <color indexed="8"/>
        <rFont val="Arial"/>
      </rPr>
      <t>TRIPLE X</t>
    </r>
  </si>
  <si>
    <t>TRIPPER</t>
  </si>
  <si>
    <t>BOELE</t>
  </si>
  <si>
    <t>NED 121M</t>
  </si>
  <si>
    <r>
      <rPr>
        <b val="1"/>
        <sz val="10"/>
        <color indexed="8"/>
        <rFont val="Arial"/>
      </rPr>
      <t>TRIPPER</t>
    </r>
  </si>
  <si>
    <t>TRITON</t>
  </si>
  <si>
    <t>Eric BONNIN</t>
  </si>
  <si>
    <t>08_015</t>
  </si>
  <si>
    <t>FRA 35972</t>
  </si>
  <si>
    <t>0,36/1,50</t>
  </si>
  <si>
    <t>comparaison Cristal Blanc</t>
  </si>
  <si>
    <r>
      <rPr>
        <b val="1"/>
        <sz val="10"/>
        <color indexed="8"/>
        <rFont val="Arial"/>
      </rPr>
      <t>TRITON</t>
    </r>
  </si>
  <si>
    <t>TROIS SOUS de POIVRE</t>
  </si>
  <si>
    <t>TREMOLINO</t>
  </si>
  <si>
    <t>Jean-François TERRIEN</t>
  </si>
  <si>
    <t>09_005</t>
  </si>
  <si>
    <t>0,45/1,37</t>
  </si>
  <si>
    <r>
      <rPr>
        <b val="1"/>
        <sz val="10"/>
        <color indexed="8"/>
        <rFont val="Arial"/>
      </rPr>
      <t>TROIS SOUS de POIVRE</t>
    </r>
  </si>
  <si>
    <t>TROPICS</t>
  </si>
  <si>
    <t>ATHENA 38</t>
  </si>
  <si>
    <t>Patrice ROMET-LENONNE</t>
  </si>
  <si>
    <r>
      <rPr>
        <b val="1"/>
        <sz val="10"/>
        <color indexed="8"/>
        <rFont val="Arial"/>
      </rPr>
      <t>TROPICS</t>
    </r>
  </si>
  <si>
    <t>TROU NOIR</t>
  </si>
  <si>
    <t>Pulsar 30 Baltic</t>
  </si>
  <si>
    <t>Jukka Henttu</t>
  </si>
  <si>
    <t>Jukka Jousjärvi</t>
  </si>
  <si>
    <t>FIN 93</t>
  </si>
  <si>
    <r>
      <rPr>
        <b val="1"/>
        <sz val="10"/>
        <color indexed="8"/>
        <rFont val="Arial"/>
      </rPr>
      <t>TROU NOIR</t>
    </r>
  </si>
  <si>
    <t>TRUMPETER</t>
  </si>
  <si>
    <t>Kelsall</t>
  </si>
  <si>
    <t>0,61/1,9</t>
  </si>
  <si>
    <r>
      <rPr>
        <b val="1"/>
        <sz val="10"/>
        <color indexed="8"/>
        <rFont val="Arial"/>
      </rPr>
      <t>TRUMPETER</t>
    </r>
  </si>
  <si>
    <t>TY BOULOU</t>
  </si>
  <si>
    <r>
      <rPr>
        <b val="1"/>
        <sz val="10"/>
        <color indexed="8"/>
        <rFont val="Arial"/>
      </rPr>
      <t>TY BOULOU</t>
    </r>
  </si>
  <si>
    <t>TY CALOU</t>
  </si>
  <si>
    <r>
      <rPr>
        <b val="1"/>
        <sz val="10"/>
        <color indexed="8"/>
        <rFont val="Arial"/>
      </rPr>
      <t>TY CALOU</t>
    </r>
  </si>
  <si>
    <t>TY-BREIZ</t>
  </si>
  <si>
    <t>Daniel DEMACHY</t>
  </si>
  <si>
    <r>
      <rPr>
        <b val="1"/>
        <sz val="10"/>
        <color indexed="8"/>
        <rFont val="Arial"/>
      </rPr>
      <t>TY-BREIZ</t>
    </r>
  </si>
  <si>
    <t>ULMO</t>
  </si>
  <si>
    <t>Sébastien AUBRUN</t>
  </si>
  <si>
    <t>SMG estimée</t>
  </si>
  <si>
    <r>
      <rPr>
        <b val="1"/>
        <sz val="10"/>
        <color indexed="8"/>
        <rFont val="Arial"/>
      </rPr>
      <t>ULMO</t>
    </r>
  </si>
  <si>
    <t>ULTRA VIOLET</t>
  </si>
  <si>
    <t>Simon HOCKEN</t>
  </si>
  <si>
    <r>
      <rPr>
        <b val="1"/>
        <sz val="10"/>
        <color indexed="8"/>
        <rFont val="Arial"/>
      </rPr>
      <t>ULTRA VIOLET</t>
    </r>
  </si>
  <si>
    <t>V8</t>
  </si>
  <si>
    <t>Catamaran</t>
  </si>
  <si>
    <t>Julien Marin</t>
  </si>
  <si>
    <t>VirusBoats</t>
  </si>
  <si>
    <t>09_025</t>
  </si>
  <si>
    <t>FRA 37276</t>
  </si>
  <si>
    <t>Estuaire Challenge 2009</t>
  </si>
  <si>
    <r>
      <rPr>
        <b val="1"/>
        <sz val="10"/>
        <color indexed="8"/>
        <rFont val="Arial"/>
      </rPr>
      <t>V8</t>
    </r>
  </si>
  <si>
    <t>VACOA</t>
  </si>
  <si>
    <t>HORIZON 50</t>
  </si>
  <si>
    <t>Van PETEGHEN</t>
  </si>
  <si>
    <t>Privé</t>
  </si>
  <si>
    <t>Hervé de SAINT HILAIRE</t>
  </si>
  <si>
    <r>
      <rPr>
        <b val="1"/>
        <sz val="10"/>
        <color indexed="8"/>
        <rFont val="Arial"/>
      </rPr>
      <t>VACOA</t>
    </r>
  </si>
  <si>
    <t>VAIMITI</t>
  </si>
  <si>
    <t>Nicolas GIRAUD</t>
  </si>
  <si>
    <t>1,00/2,20</t>
  </si>
  <si>
    <r>
      <rPr>
        <b val="1"/>
        <sz val="10"/>
        <color indexed="8"/>
        <rFont val="Arial"/>
      </rPr>
      <t>VAIMITI</t>
    </r>
  </si>
  <si>
    <t>VAINCRE LA MUCOVISCIDOSE</t>
  </si>
  <si>
    <t>FUJI 50</t>
  </si>
  <si>
    <t>SEATEC</t>
  </si>
  <si>
    <t>Hervé CLERIS</t>
  </si>
  <si>
    <t>1,4/2,9</t>
  </si>
  <si>
    <t>Voiles estimées</t>
  </si>
  <si>
    <r>
      <rPr>
        <b val="1"/>
        <sz val="10"/>
        <color indexed="8"/>
        <rFont val="Arial"/>
      </rPr>
      <t>VAINCRE LA MUCOVISCIDOSE</t>
    </r>
  </si>
  <si>
    <t>VAVE'A</t>
  </si>
  <si>
    <t>LAGOON 57</t>
  </si>
  <si>
    <t>JTA</t>
  </si>
  <si>
    <r>
      <rPr>
        <b val="1"/>
        <sz val="10"/>
        <color indexed="8"/>
        <rFont val="Arial"/>
      </rPr>
      <t>VAVE'A</t>
    </r>
  </si>
  <si>
    <t>VEDANA</t>
  </si>
  <si>
    <t>PIANA 30</t>
  </si>
  <si>
    <t>DESRAY</t>
  </si>
  <si>
    <t>Andre CHOLLET</t>
  </si>
  <si>
    <r>
      <rPr>
        <b val="1"/>
        <sz val="10"/>
        <color indexed="8"/>
        <rFont val="Arial"/>
      </rPr>
      <t>VEDANA</t>
    </r>
  </si>
  <si>
    <t>VESIHIISI</t>
  </si>
  <si>
    <t>MyCat</t>
  </si>
  <si>
    <t>Oudrup</t>
  </si>
  <si>
    <t>Mikko Saukko</t>
  </si>
  <si>
    <t>FIN 51</t>
  </si>
  <si>
    <t>22.8.2001/30.8.01</t>
  </si>
  <si>
    <t>ex LENTÄVÄ MATTO</t>
  </si>
  <si>
    <r>
      <rPr>
        <b val="1"/>
        <sz val="10"/>
        <color indexed="8"/>
        <rFont val="Arial"/>
      </rPr>
      <t>VESIHIISI</t>
    </r>
  </si>
  <si>
    <t>VICTOR INOX</t>
  </si>
  <si>
    <t>TOPCAT 35</t>
  </si>
  <si>
    <t>Klaus ENZMANN</t>
  </si>
  <si>
    <t>TOPCAT</t>
  </si>
  <si>
    <t>Danny MONNIER</t>
  </si>
  <si>
    <r>
      <rPr>
        <b val="1"/>
        <sz val="10"/>
        <color indexed="8"/>
        <rFont val="Arial"/>
      </rPr>
      <t>VICTOR INOX</t>
    </r>
  </si>
  <si>
    <t>VILLE DE TALENCE</t>
  </si>
  <si>
    <t>,26/</t>
  </si>
  <si>
    <r>
      <rPr>
        <b val="1"/>
        <sz val="10"/>
        <color indexed="8"/>
        <rFont val="Arial"/>
      </rPr>
      <t>VILLE DE TALENCE</t>
    </r>
  </si>
  <si>
    <t>VINNDEN</t>
  </si>
  <si>
    <t>DragonFly 920 Racing</t>
  </si>
  <si>
    <t>Patrick DUPUIS</t>
  </si>
  <si>
    <t>07_022</t>
  </si>
  <si>
    <t>FRA 92078</t>
  </si>
  <si>
    <r>
      <rPr>
        <b val="1"/>
        <sz val="10"/>
        <color indexed="8"/>
        <rFont val="Arial"/>
      </rPr>
      <t>VINNDEN</t>
    </r>
  </si>
  <si>
    <t>VOL AU VENT</t>
  </si>
  <si>
    <t>,28/1,4</t>
  </si>
  <si>
    <r>
      <rPr>
        <b val="1"/>
        <sz val="10"/>
        <color indexed="8"/>
        <rFont val="Arial"/>
      </rPr>
      <t>VOL AU VENT</t>
    </r>
  </si>
  <si>
    <t>VOLAGE</t>
  </si>
  <si>
    <t>Proto F40</t>
  </si>
  <si>
    <t>Edouard Van den BROEK</t>
  </si>
  <si>
    <t>FRA 56</t>
  </si>
  <si>
    <r>
      <rPr>
        <b val="1"/>
        <sz val="10"/>
        <color indexed="8"/>
        <rFont val="Arial"/>
      </rPr>
      <t>VOLAGE</t>
    </r>
  </si>
  <si>
    <t>VUNCH</t>
  </si>
  <si>
    <t>F 25C</t>
  </si>
  <si>
    <t>FARRIER</t>
  </si>
  <si>
    <t>Georges FOURNIER</t>
  </si>
  <si>
    <t>09_012</t>
  </si>
  <si>
    <t>FRA 37263</t>
  </si>
  <si>
    <t>,25/</t>
  </si>
  <si>
    <t>D'après certificat MOCRA F25C</t>
  </si>
  <si>
    <r>
      <rPr>
        <b val="1"/>
        <sz val="10"/>
        <color indexed="8"/>
        <rFont val="Arial"/>
      </rPr>
      <t>VUNCH</t>
    </r>
  </si>
  <si>
    <t>WAROC'H</t>
  </si>
  <si>
    <t>Jean-Pierre PERCHAIS</t>
  </si>
  <si>
    <t>07_015</t>
  </si>
  <si>
    <t>F 419 M</t>
  </si>
  <si>
    <r>
      <rPr>
        <b val="1"/>
        <sz val="10"/>
        <color indexed="8"/>
        <rFont val="Arial"/>
      </rPr>
      <t>WAROC'H</t>
    </r>
  </si>
  <si>
    <t>WEST LIND 2</t>
  </si>
  <si>
    <t>PROUT 39</t>
  </si>
  <si>
    <t>Simon PRESCOTT</t>
  </si>
  <si>
    <r>
      <rPr>
        <b val="1"/>
        <sz val="10"/>
        <color indexed="8"/>
        <rFont val="Arial"/>
      </rPr>
      <t>WEST LIND 2</t>
    </r>
  </si>
  <si>
    <t>WILD THING</t>
  </si>
  <si>
    <t>Dave THOMAS</t>
  </si>
  <si>
    <t>10_008</t>
  </si>
  <si>
    <t>FRA 34615</t>
  </si>
  <si>
    <t>Multimed 2010</t>
  </si>
  <si>
    <r>
      <rPr>
        <b val="1"/>
        <sz val="10"/>
        <color indexed="8"/>
        <rFont val="Arial"/>
      </rPr>
      <t>WILD THING</t>
    </r>
  </si>
  <si>
    <t>XENO</t>
  </si>
  <si>
    <t>STREAKER</t>
  </si>
  <si>
    <t>Malcolm TENNENT</t>
  </si>
  <si>
    <t>Van HAALS</t>
  </si>
  <si>
    <r>
      <rPr>
        <b val="1"/>
        <sz val="10"/>
        <color indexed="8"/>
        <rFont val="Arial"/>
      </rPr>
      <t>XENO</t>
    </r>
  </si>
  <si>
    <t>XOZ</t>
  </si>
  <si>
    <t>Formule 28-30</t>
  </si>
  <si>
    <t>Per FERSKANG</t>
  </si>
  <si>
    <t>Gildas BRETON</t>
  </si>
  <si>
    <t>09_019</t>
  </si>
  <si>
    <t>F 28 M</t>
  </si>
  <si>
    <r>
      <rPr>
        <b val="1"/>
        <sz val="10"/>
        <color indexed="8"/>
        <rFont val="Arial"/>
      </rPr>
      <t>XOZ</t>
    </r>
  </si>
  <si>
    <t>YES AÏE</t>
  </si>
  <si>
    <t>Mac GREGOR 36</t>
  </si>
  <si>
    <t>Patrick RIFFAULT</t>
  </si>
  <si>
    <t>09_026</t>
  </si>
  <si>
    <t>FRA 37284</t>
  </si>
  <si>
    <r>
      <rPr>
        <b val="1"/>
        <sz val="10"/>
        <color indexed="8"/>
        <rFont val="Arial"/>
      </rPr>
      <t>YES AÏE</t>
    </r>
  </si>
  <si>
    <t>YOUCALI</t>
  </si>
  <si>
    <t>EDEL 33</t>
  </si>
  <si>
    <t>Bernard LELIEVRE</t>
  </si>
  <si>
    <t>10_028</t>
  </si>
  <si>
    <r>
      <rPr>
        <b val="1"/>
        <sz val="10"/>
        <color indexed="8"/>
        <rFont val="Arial"/>
      </rPr>
      <t>YOUCALI</t>
    </r>
  </si>
  <si>
    <t>YOYO</t>
  </si>
  <si>
    <t>JOHANNES</t>
  </si>
  <si>
    <t>G 220</t>
  </si>
  <si>
    <r>
      <rPr>
        <b val="1"/>
        <sz val="10"/>
        <color indexed="8"/>
        <rFont val="Arial"/>
      </rPr>
      <t>YOYO</t>
    </r>
  </si>
  <si>
    <t>ZANZARA</t>
  </si>
  <si>
    <t>VOCHELLE</t>
  </si>
  <si>
    <r>
      <rPr>
        <b val="1"/>
        <sz val="10"/>
        <color indexed="8"/>
        <rFont val="Arial"/>
      </rPr>
      <t>ZANZARA</t>
    </r>
  </si>
  <si>
    <t>jauges Standards</t>
  </si>
  <si>
    <t>A-CAT</t>
  </si>
  <si>
    <r>
      <rPr>
        <b val="1"/>
        <sz val="10"/>
        <color indexed="8"/>
        <rFont val="Arial"/>
      </rPr>
      <t>jauges Standards</t>
    </r>
  </si>
  <si>
    <t>ANTIGUA</t>
  </si>
  <si>
    <t>Jacques HERDEMINGER</t>
  </si>
  <si>
    <t>Roger BOUCHE-PILLON</t>
  </si>
  <si>
    <t>Ariane's Cup 2005</t>
  </si>
  <si>
    <t>Vérifier hélice</t>
  </si>
  <si>
    <t>B-CAT</t>
  </si>
  <si>
    <t>BELIZE 43</t>
  </si>
  <si>
    <t>CATANA 39</t>
  </si>
  <si>
    <t>Astrid HAUPT</t>
  </si>
  <si>
    <t>Spi estimé à 120%</t>
  </si>
  <si>
    <t>CATANA 411</t>
  </si>
  <si>
    <t>0,7/2,1</t>
  </si>
  <si>
    <t>Doute sur poids, vérifier hélice</t>
  </si>
  <si>
    <t>CATANA 45R</t>
  </si>
  <si>
    <t>V douteux, spi estimé à 120%</t>
  </si>
  <si>
    <t>CHALLENGE 37</t>
  </si>
  <si>
    <t>DRAGONFLY 35 Touring</t>
  </si>
  <si>
    <t>0,55/1,90</t>
  </si>
  <si>
    <t>loueur</t>
  </si>
  <si>
    <t>DRAGONFLY 35 Ultimate</t>
  </si>
  <si>
    <t>EDEL CAT 35 open</t>
  </si>
  <si>
    <t>HELIOS 38</t>
  </si>
  <si>
    <t>ADN</t>
  </si>
  <si>
    <t>HELIOS 42</t>
  </si>
  <si>
    <t>1,05/2,2</t>
  </si>
  <si>
    <t>JANUS</t>
  </si>
  <si>
    <t>Richard WOODS</t>
  </si>
  <si>
    <t>Mât estimé, vérifier hélice</t>
  </si>
  <si>
    <t>LAGOON 470</t>
  </si>
  <si>
    <t>MALDIVES lac</t>
  </si>
  <si>
    <t>Nicole MENUDIER</t>
  </si>
  <si>
    <t>Gabon 2006</t>
  </si>
  <si>
    <t>NAUTITECH 47</t>
  </si>
  <si>
    <t>OCEAN VOYAGER 82</t>
  </si>
  <si>
    <t>C.I.M.</t>
  </si>
  <si>
    <t>documentation</t>
  </si>
  <si>
    <t>V estimé</t>
  </si>
  <si>
    <t>OUTREMER 55</t>
  </si>
  <si>
    <t>ST-FRANCIS 44</t>
  </si>
  <si>
    <t>Angelo LAVRANOS</t>
  </si>
  <si>
    <t>ST-FRANCIS Marine</t>
  </si>
  <si>
    <t>TRIMAX 1050</t>
  </si>
  <si>
    <t>P. Bosgraaf + Trimax</t>
  </si>
  <si>
    <t>Aerofleet s.a</t>
  </si>
  <si>
    <t>VISIONA 44</t>
  </si>
  <si>
    <t>Ligne de saisie</t>
  </si>
  <si>
    <r>
      <rPr>
        <b val="1"/>
        <sz val="10"/>
        <color indexed="8"/>
        <rFont val="Arial"/>
      </rPr>
      <t>Ligne de saisie</t>
    </r>
  </si>
  <si>
    <t>Name</t>
  </si>
  <si>
    <t>Model</t>
  </si>
  <si>
    <t>Designer</t>
  </si>
  <si>
    <t>Builder</t>
  </si>
  <si>
    <t>Owner</t>
  </si>
  <si>
    <t>Sail number</t>
  </si>
  <si>
    <t>Measured by</t>
  </si>
  <si>
    <t>Date or event</t>
  </si>
  <si>
    <t>Comments</t>
  </si>
  <si>
    <r>
      <rPr>
        <b val="1"/>
        <sz val="10"/>
        <color indexed="8"/>
        <rFont val="Arial"/>
      </rPr>
      <t>Name</t>
    </r>
  </si>
  <si>
    <t>Single-handed dinghy cat</t>
  </si>
  <si>
    <t>Double-handed dinghy cat</t>
  </si>
  <si>
    <t>Catamaran with accommodation</t>
  </si>
  <si>
    <t>Trimaran with accommodation</t>
  </si>
  <si>
    <t>Hull length</t>
  </si>
  <si>
    <t>Measured length at mid-freeboard</t>
  </si>
  <si>
    <t>Beam overall</t>
  </si>
  <si>
    <t>Measured draft for fixed keel(s)</t>
  </si>
  <si>
    <t>Measured draft for pivoting board(s)</t>
  </si>
  <si>
    <t>Measured draft for daggerboard(s)</t>
  </si>
  <si>
    <t>Measured draft for foil(s)</t>
  </si>
  <si>
    <t>Appendage factor</t>
  </si>
  <si>
    <t>Measured weight in rating trim</t>
  </si>
  <si>
    <t>Rated weight</t>
  </si>
  <si>
    <t>Mainsail foot</t>
  </si>
  <si>
    <t>Mainsail 1/4 height girth</t>
  </si>
  <si>
    <t>Mainsail 1/2 height girth</t>
  </si>
  <si>
    <t>Mainsail 3/4 height girth</t>
  </si>
  <si>
    <t>Mainsail headboard</t>
  </si>
  <si>
    <t>Mainsail foot roach</t>
  </si>
  <si>
    <t>Mainsail luff</t>
  </si>
  <si>
    <t>Self-declared mainsail area</t>
  </si>
  <si>
    <t>Measured mainsail area</t>
  </si>
  <si>
    <t>Mast height</t>
  </si>
  <si>
    <t>Mast circumference if rotating</t>
  </si>
  <si>
    <t>Rated mainsail area</t>
  </si>
  <si>
    <t>Maximum jib luff</t>
  </si>
  <si>
    <t>Maximum jib perpendicular</t>
  </si>
  <si>
    <t>Self-declared jib area</t>
  </si>
  <si>
    <t>Measured jib area</t>
  </si>
  <si>
    <t>Jib hanks &lt;x&gt;</t>
  </si>
  <si>
    <t>Headfoil circumference</t>
  </si>
  <si>
    <t>Jib furler circumference</t>
  </si>
  <si>
    <t>Rated jib area</t>
  </si>
  <si>
    <t>Maximum storm jib area</t>
  </si>
  <si>
    <t>Rig vertical height</t>
  </si>
  <si>
    <t>Drifter or gennaker height</t>
  </si>
  <si>
    <t>Drifter or gennaker foot</t>
  </si>
  <si>
    <t>Drifter or gennaker mid-girth</t>
  </si>
  <si>
    <t>Self-declared drifter or gennaker area</t>
  </si>
  <si>
    <t>Measured drifter or gennaker area</t>
  </si>
  <si>
    <t>Spinnaker or gennaker tack forward bow</t>
  </si>
  <si>
    <t>Spinnaker pole factor</t>
  </si>
  <si>
    <t>Rated drifter area</t>
  </si>
  <si>
    <t>Spinnaker foot</t>
  </si>
  <si>
    <t>Spinnaker luff</t>
  </si>
  <si>
    <t>Spinnaker leech</t>
  </si>
  <si>
    <t>Spinnaker mid-girth</t>
  </si>
  <si>
    <t>Self-declared spinnaker area</t>
  </si>
  <si>
    <t>Spinnaker measured area</t>
  </si>
  <si>
    <t>Rated spinnaker area</t>
  </si>
  <si>
    <t>Maximum number of sails</t>
  </si>
  <si>
    <t>Rated sail area</t>
  </si>
  <si>
    <t>Measured headroom on cabin sole area</t>
  </si>
  <si>
    <t>Cabin sole length on 0,30m width</t>
  </si>
  <si>
    <t>Minimum berth number. 1,90m long. 0,55m wide on 1,25m. 0,45m foot. 0,55m above cushions</t>
  </si>
  <si>
    <t>Minimum seat length. 0,40m width. 0,30m height above sole. 0,85m height above cushions</t>
  </si>
  <si>
    <t>Base headroom</t>
  </si>
  <si>
    <t>Headroom factor</t>
  </si>
  <si>
    <t>Measured speed under power</t>
  </si>
  <si>
    <t>Number of propellers</t>
  </si>
  <si>
    <t>Outboard / catdrive</t>
  </si>
  <si>
    <t>Variable / feathering blades</t>
  </si>
  <si>
    <t>Fixed blades</t>
  </si>
  <si>
    <t>Propeller factor</t>
  </si>
  <si>
    <t>Corrected time = Elapsed time x R</t>
  </si>
  <si>
    <t>Portsmoth Yardstick equivalence</t>
  </si>
  <si>
    <t>Method to get weight</t>
  </si>
  <si>
    <t>Appendages</t>
  </si>
  <si>
    <t>Mainsail</t>
  </si>
  <si>
    <t>Jibs</t>
  </si>
  <si>
    <t>Drifter, mid height chord &lt; 75% bordure</t>
  </si>
  <si>
    <t>Accommodation</t>
  </si>
  <si>
    <t>Propeller type</t>
  </si>
  <si>
    <t>All dimensions in m, all weights in kg, all areas in m²</t>
  </si>
  <si>
    <t>Only enter the data in blue columns</t>
  </si>
  <si>
    <t>Enter mainsail, jib and spinnaker areas only for self-declaring certificates when these sails are not measured by an official measurer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</si>
</sst>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0"/>
    <numFmt numFmtId="60" formatCode="0.0"/>
  </numFmts>
  <fonts count="22">
    <font>
      <sz val="10"/>
      <color indexed="8"/>
      <name val="Helvetica"/>
    </font>
    <font>
      <sz val="10"/>
      <color indexed="8"/>
      <name val="Arial"/>
    </font>
    <font>
      <b val="1"/>
      <sz val="12"/>
      <color indexed="8"/>
      <name val="Helvetica Neue"/>
    </font>
    <font>
      <b val="1"/>
      <sz val="16"/>
      <color indexed="8"/>
      <name val="Arial"/>
    </font>
    <font>
      <sz val="10"/>
      <color indexed="8"/>
      <name val="Times New Roman"/>
    </font>
    <font>
      <b val="1"/>
      <sz val="10"/>
      <color indexed="8"/>
      <name val="Arial"/>
    </font>
    <font>
      <sz val="10"/>
      <color indexed="10"/>
      <name val="Arial"/>
    </font>
    <font>
      <u val="single"/>
      <sz val="10"/>
      <color indexed="11"/>
      <name val="Arial"/>
    </font>
    <font>
      <sz val="10"/>
      <color indexed="11"/>
      <name val="Arial"/>
    </font>
    <font>
      <b val="1"/>
      <sz val="16"/>
      <color indexed="11"/>
      <name val="Arial"/>
    </font>
    <font>
      <sz val="10"/>
      <color indexed="11"/>
      <name val="Times New Roman"/>
    </font>
    <font>
      <sz val="10"/>
      <color indexed="10"/>
      <name val="Times New Roman"/>
    </font>
    <font>
      <sz val="10"/>
      <color indexed="12"/>
      <name val="Arial"/>
    </font>
    <font>
      <sz val="10"/>
      <color indexed="13"/>
      <name val="Arial"/>
    </font>
    <font>
      <b val="1"/>
      <sz val="10"/>
      <color indexed="14"/>
      <name val="Arial"/>
    </font>
    <font>
      <b val="1"/>
      <sz val="10"/>
      <color indexed="11"/>
      <name val="Arial"/>
    </font>
    <font>
      <b val="1"/>
      <sz val="10"/>
      <color indexed="10"/>
      <name val="Arial"/>
    </font>
    <font>
      <i val="1"/>
      <sz val="10"/>
      <color indexed="11"/>
      <name val="Arial"/>
    </font>
    <font>
      <sz val="11"/>
      <color indexed="8"/>
      <name val="Helvetica"/>
    </font>
    <font>
      <b val="1"/>
      <sz val="14"/>
      <color indexed="8"/>
      <name val="Arial"/>
    </font>
    <font>
      <sz val="10"/>
      <color indexed="16"/>
      <name val="Arial"/>
    </font>
    <font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5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2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bottom"/>
    </xf>
    <xf numFmtId="0" fontId="1" borderId="1" applyNumberFormat="0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horizontal="left" vertical="bottom"/>
    </xf>
    <xf numFmtId="2" fontId="1" borderId="1" applyNumberFormat="1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horizontal="left" vertical="bottom"/>
    </xf>
    <xf numFmtId="59" fontId="5" borderId="1" applyNumberFormat="1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  <xf numFmtId="2" fontId="6" borderId="1" applyNumberFormat="1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2" fontId="8" borderId="1" applyNumberFormat="1" applyFont="1" applyFill="0" applyBorder="1" applyAlignment="1" applyProtection="0">
      <alignment vertical="bottom"/>
    </xf>
    <xf numFmtId="59" fontId="1" borderId="1" applyNumberFormat="1" applyFont="1" applyFill="0" applyBorder="1" applyAlignment="1" applyProtection="0">
      <alignment vertical="bottom"/>
    </xf>
    <xf numFmtId="49" fontId="1" borderId="1" applyNumberFormat="1" applyFont="1" applyFill="0" applyBorder="1" applyAlignment="1" applyProtection="0">
      <alignment horizontal="right" vertical="bottom"/>
    </xf>
    <xf numFmtId="49" fontId="4" borderId="1" applyNumberFormat="1" applyFont="1" applyFill="0" applyBorder="1" applyAlignment="1" applyProtection="0">
      <alignment horizontal="right" vertical="bottom"/>
    </xf>
    <xf numFmtId="2" fontId="5" borderId="1" applyNumberFormat="1" applyFont="1" applyFill="0" applyBorder="1" applyAlignment="1" applyProtection="0">
      <alignment vertical="bottom"/>
    </xf>
    <xf numFmtId="0" fontId="9" borderId="1" applyNumberFormat="0" applyFont="1" applyFill="0" applyBorder="1" applyAlignment="1" applyProtection="0">
      <alignment horizontal="left" vertical="bottom"/>
    </xf>
    <xf numFmtId="2" fontId="10" borderId="1" applyNumberFormat="1" applyFont="1" applyFill="0" applyBorder="1" applyAlignment="1" applyProtection="0">
      <alignment horizontal="left" vertical="bottom"/>
    </xf>
    <xf numFmtId="2" fontId="11" borderId="1" applyNumberFormat="1" applyFont="1" applyFill="0" applyBorder="1" applyAlignment="1" applyProtection="0">
      <alignment horizontal="left" vertical="bottom"/>
    </xf>
    <xf numFmtId="49" fontId="1" borderId="1" applyNumberFormat="1" applyFont="1" applyFill="0" applyBorder="1" applyAlignment="1" applyProtection="0">
      <alignment vertical="bottom"/>
    </xf>
    <xf numFmtId="49" fontId="8" borderId="1" applyNumberFormat="1" applyFont="1" applyFill="0" applyBorder="1" applyAlignment="1" applyProtection="0">
      <alignment vertical="bottom"/>
    </xf>
    <xf numFmtId="49" fontId="12" borderId="1" applyNumberFormat="1" applyFont="1" applyFill="0" applyBorder="1" applyAlignment="1" applyProtection="0">
      <alignment vertical="bottom"/>
    </xf>
    <xf numFmtId="49" fontId="1" borderId="1" applyNumberFormat="1" applyFont="1" applyFill="0" applyBorder="1" applyAlignment="1" applyProtection="0">
      <alignment horizontal="center" vertical="bottom"/>
    </xf>
    <xf numFmtId="0" fontId="9" borderId="1" applyNumberFormat="0" applyFont="1" applyFill="0" applyBorder="1" applyAlignment="1" applyProtection="0">
      <alignment horizontal="center" vertical="bottom"/>
    </xf>
    <xf numFmtId="49" fontId="8" borderId="1" applyNumberFormat="1" applyFont="1" applyFill="0" applyBorder="1" applyAlignment="1" applyProtection="0">
      <alignment horizontal="center" vertical="bottom"/>
    </xf>
    <xf numFmtId="49" fontId="5" borderId="1" applyNumberFormat="1" applyFont="1" applyFill="0" applyBorder="1" applyAlignment="1" applyProtection="0">
      <alignment vertical="bottom"/>
    </xf>
    <xf numFmtId="49" fontId="6" borderId="1" applyNumberFormat="1" applyFont="1" applyFill="0" applyBorder="1" applyAlignment="1" applyProtection="0">
      <alignment vertical="bottom"/>
    </xf>
    <xf numFmtId="49" fontId="13" borderId="1" applyNumberFormat="1" applyFont="1" applyFill="0" applyBorder="1" applyAlignment="1" applyProtection="0">
      <alignment vertical="bottom"/>
    </xf>
    <xf numFmtId="49" fontId="14" borderId="1" applyNumberFormat="1" applyFont="1" applyFill="0" applyBorder="1" applyAlignment="1" applyProtection="0">
      <alignment vertical="bottom"/>
    </xf>
    <xf numFmtId="0" fontId="14" borderId="1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left" vertical="bottom"/>
    </xf>
    <xf numFmtId="49" fontId="1" borderId="1" applyNumberFormat="1" applyFont="1" applyFill="0" applyBorder="1" applyAlignment="1" applyProtection="0">
      <alignment horizontal="left" vertical="bottom"/>
    </xf>
    <xf numFmtId="0" fontId="8" borderId="1" applyNumberFormat="0" applyFont="1" applyFill="0" applyBorder="1" applyAlignment="1" applyProtection="0">
      <alignment vertical="bottom"/>
    </xf>
    <xf numFmtId="2" fontId="12" borderId="1" applyNumberFormat="1" applyFont="1" applyFill="0" applyBorder="1" applyAlignment="1" applyProtection="0">
      <alignment vertical="bottom"/>
    </xf>
    <xf numFmtId="0" fontId="12" borderId="1" applyNumberFormat="0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horizontal="right" vertical="bottom"/>
    </xf>
    <xf numFmtId="0" fontId="8" borderId="1" applyNumberFormat="0" applyFont="1" applyFill="0" applyBorder="1" applyAlignment="1" applyProtection="0">
      <alignment horizontal="center" vertical="bottom"/>
    </xf>
    <xf numFmtId="2" fontId="8" borderId="1" applyNumberFormat="1" applyFont="1" applyFill="0" applyBorder="1" applyAlignment="1" applyProtection="0">
      <alignment horizontal="center" vertical="bottom"/>
    </xf>
    <xf numFmtId="59" fontId="5" borderId="1" applyNumberFormat="1" applyFont="1" applyFill="0" applyBorder="1" applyAlignment="1" applyProtection="0">
      <alignment horizontal="center" vertical="bottom"/>
    </xf>
    <xf numFmtId="0" fontId="8" borderId="1" applyNumberFormat="1" applyFont="1" applyFill="0" applyBorder="1" applyAlignment="1" applyProtection="0">
      <alignment vertical="bottom"/>
    </xf>
    <xf numFmtId="1" fontId="1" borderId="1" applyNumberFormat="1" applyFont="1" applyFill="0" applyBorder="1" applyAlignment="1" applyProtection="0">
      <alignment vertical="bottom"/>
    </xf>
    <xf numFmtId="59" fontId="14" borderId="1" applyNumberFormat="1" applyFont="1" applyFill="0" applyBorder="1" applyAlignment="1" applyProtection="0">
      <alignment vertical="bottom"/>
    </xf>
    <xf numFmtId="0" fontId="1" borderId="1" applyNumberFormat="1" applyFont="1" applyFill="0" applyBorder="1" applyAlignment="1" applyProtection="0">
      <alignment vertical="bottom"/>
    </xf>
    <xf numFmtId="0" fontId="8" borderId="1" applyNumberFormat="1" applyFont="1" applyFill="0" applyBorder="1" applyAlignment="1" applyProtection="0">
      <alignment horizontal="center" vertical="bottom"/>
    </xf>
    <xf numFmtId="0" fontId="14" borderId="1" applyNumberFormat="1" applyFont="1" applyFill="0" applyBorder="1" applyAlignment="1" applyProtection="0">
      <alignment horizontal="center" vertical="bottom"/>
    </xf>
    <xf numFmtId="1" fontId="5" borderId="1" applyNumberFormat="1" applyFont="1" applyFill="0" applyBorder="1" applyAlignment="1" applyProtection="0">
      <alignment vertical="bottom"/>
    </xf>
    <xf numFmtId="14" fontId="1" borderId="1" applyNumberFormat="1" applyFont="1" applyFill="0" applyBorder="1" applyAlignment="1" applyProtection="0">
      <alignment vertical="bottom"/>
    </xf>
    <xf numFmtId="15" fontId="1" borderId="1" applyNumberFormat="1" applyFont="1" applyFill="0" applyBorder="1" applyAlignment="1" applyProtection="0">
      <alignment vertical="bottom"/>
    </xf>
    <xf numFmtId="0" fontId="14" borderId="1" applyNumberFormat="0" applyFont="1" applyFill="0" applyBorder="1" applyAlignment="1" applyProtection="0">
      <alignment horizontal="center" vertical="bottom"/>
    </xf>
    <xf numFmtId="59" fontId="8" borderId="1" applyNumberFormat="1" applyFont="1" applyFill="0" applyBorder="1" applyAlignment="1" applyProtection="0">
      <alignment vertical="bottom"/>
    </xf>
    <xf numFmtId="59" fontId="8" borderId="1" applyNumberFormat="1" applyFont="1" applyFill="0" applyBorder="1" applyAlignment="1" applyProtection="0">
      <alignment horizontal="center" vertical="bottom"/>
    </xf>
    <xf numFmtId="1" fontId="8" borderId="1" applyNumberFormat="1" applyFont="1" applyFill="0" applyBorder="1" applyAlignment="1" applyProtection="0">
      <alignment vertical="bottom"/>
    </xf>
    <xf numFmtId="0" fontId="1" borderId="1" applyNumberFormat="1" applyFont="1" applyFill="0" applyBorder="1" applyAlignment="1" applyProtection="0">
      <alignment horizontal="left" vertical="bottom"/>
    </xf>
    <xf numFmtId="49" fontId="5" borderId="1" applyNumberFormat="1" applyFont="1" applyFill="0" applyBorder="1" applyAlignment="1" applyProtection="0">
      <alignment vertical="top"/>
    </xf>
    <xf numFmtId="49" fontId="1" borderId="1" applyNumberFormat="1" applyFont="1" applyFill="0" applyBorder="1" applyAlignment="1" applyProtection="0">
      <alignment vertical="top"/>
    </xf>
    <xf numFmtId="0" fontId="1" borderId="1" applyNumberFormat="0" applyFont="1" applyFill="0" applyBorder="1" applyAlignment="1" applyProtection="0">
      <alignment vertical="top"/>
    </xf>
    <xf numFmtId="0" fontId="8" borderId="1" applyNumberFormat="0" applyFont="1" applyFill="0" applyBorder="1" applyAlignment="1" applyProtection="0">
      <alignment vertical="top"/>
    </xf>
    <xf numFmtId="0" fontId="8" borderId="1" applyNumberFormat="0" applyFont="1" applyFill="0" applyBorder="1" applyAlignment="1" applyProtection="0">
      <alignment horizontal="center" vertical="top"/>
    </xf>
    <xf numFmtId="49" fontId="8" borderId="1" applyNumberFormat="1" applyFont="1" applyFill="0" applyBorder="1" applyAlignment="1" applyProtection="0">
      <alignment horizontal="center" vertical="top"/>
    </xf>
    <xf numFmtId="2" fontId="8" borderId="1" applyNumberFormat="1" applyFont="1" applyFill="0" applyBorder="1" applyAlignment="1" applyProtection="0">
      <alignment vertical="top"/>
    </xf>
    <xf numFmtId="2" fontId="1" borderId="1" applyNumberFormat="1" applyFont="1" applyFill="0" applyBorder="1" applyAlignment="1" applyProtection="0">
      <alignment vertical="top"/>
    </xf>
    <xf numFmtId="2" fontId="8" borderId="1" applyNumberFormat="1" applyFont="1" applyFill="0" applyBorder="1" applyAlignment="1" applyProtection="0">
      <alignment horizontal="center" vertical="top"/>
    </xf>
    <xf numFmtId="0" fontId="8" borderId="1" applyNumberFormat="1" applyFont="1" applyFill="0" applyBorder="1" applyAlignment="1" applyProtection="0">
      <alignment vertical="top"/>
    </xf>
    <xf numFmtId="59" fontId="5" borderId="1" applyNumberFormat="1" applyFont="1" applyFill="0" applyBorder="1" applyAlignment="1" applyProtection="0">
      <alignment horizontal="center" vertical="top"/>
    </xf>
    <xf numFmtId="1" fontId="1" borderId="1" applyNumberFormat="1" applyFont="1" applyFill="0" applyBorder="1" applyAlignment="1" applyProtection="0">
      <alignment vertical="top"/>
    </xf>
    <xf numFmtId="2" fontId="12" borderId="1" applyNumberFormat="1" applyFont="1" applyFill="0" applyBorder="1" applyAlignment="1" applyProtection="0">
      <alignment vertical="top"/>
    </xf>
    <xf numFmtId="59" fontId="1" borderId="1" applyNumberFormat="1" applyFont="1" applyFill="0" applyBorder="1" applyAlignment="1" applyProtection="0">
      <alignment vertical="top"/>
    </xf>
    <xf numFmtId="59" fontId="14" borderId="1" applyNumberFormat="1" applyFont="1" applyFill="0" applyBorder="1" applyAlignment="1" applyProtection="0">
      <alignment vertical="top"/>
    </xf>
    <xf numFmtId="49" fontId="15" borderId="1" applyNumberFormat="1" applyFont="1" applyFill="0" applyBorder="1" applyAlignment="1" applyProtection="0">
      <alignment vertical="bottom"/>
    </xf>
    <xf numFmtId="0" fontId="1" borderId="1" applyNumberFormat="1" applyFont="1" applyFill="0" applyBorder="1" applyAlignment="1" applyProtection="0">
      <alignment vertical="top"/>
    </xf>
    <xf numFmtId="17" fontId="1" borderId="1" applyNumberFormat="1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horizontal="center" vertical="bottom"/>
    </xf>
    <xf numFmtId="2" fontId="1" borderId="1" applyNumberFormat="1" applyFont="1" applyFill="0" applyBorder="1" applyAlignment="1" applyProtection="0">
      <alignment horizontal="center" vertical="bottom"/>
    </xf>
    <xf numFmtId="2" fontId="13" borderId="1" applyNumberFormat="1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horizontal="left" vertical="top"/>
    </xf>
    <xf numFmtId="49" fontId="1" borderId="1" applyNumberFormat="1" applyFont="1" applyFill="0" applyBorder="1" applyAlignment="1" applyProtection="0">
      <alignment horizontal="left" vertical="top"/>
    </xf>
    <xf numFmtId="2" fontId="5" borderId="1" applyNumberFormat="1" applyFont="1" applyFill="0" applyBorder="1" applyAlignment="1" applyProtection="0">
      <alignment vertical="top"/>
    </xf>
    <xf numFmtId="0" fontId="8" borderId="1" applyNumberFormat="1" applyFont="1" applyFill="0" applyBorder="1" applyAlignment="1" applyProtection="0">
      <alignment horizontal="center" vertical="top"/>
    </xf>
    <xf numFmtId="1" fontId="5" borderId="1" applyNumberFormat="1" applyFont="1" applyFill="0" applyBorder="1" applyAlignment="1" applyProtection="0">
      <alignment vertical="top"/>
    </xf>
    <xf numFmtId="2" fontId="6" borderId="1" applyNumberFormat="1" applyFont="1" applyFill="0" applyBorder="1" applyAlignment="1" applyProtection="0">
      <alignment vertical="top"/>
    </xf>
    <xf numFmtId="59" fontId="5" borderId="1" applyNumberFormat="1" applyFont="1" applyFill="0" applyBorder="1" applyAlignment="1" applyProtection="0">
      <alignment vertical="top"/>
    </xf>
    <xf numFmtId="14" fontId="1" borderId="1" applyNumberFormat="1" applyFont="1" applyFill="0" applyBorder="1" applyAlignment="1" applyProtection="0">
      <alignment horizontal="left" vertical="top"/>
    </xf>
    <xf numFmtId="0" fontId="5" borderId="1" applyNumberFormat="1" applyFont="1" applyFill="0" applyBorder="1" applyAlignment="1" applyProtection="0">
      <alignment horizontal="left" vertical="bottom"/>
    </xf>
    <xf numFmtId="14" fontId="1" borderId="1" applyNumberFormat="1" applyFont="1" applyFill="0" applyBorder="1" applyAlignment="1" applyProtection="0">
      <alignment vertical="top"/>
    </xf>
    <xf numFmtId="60" fontId="8" borderId="1" applyNumberFormat="1" applyFont="1" applyFill="0" applyBorder="1" applyAlignment="1" applyProtection="0">
      <alignment horizontal="center" vertical="top"/>
    </xf>
    <xf numFmtId="2" fontId="16" borderId="1" applyNumberFormat="1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top"/>
    </xf>
    <xf numFmtId="14" fontId="1" borderId="1" applyNumberFormat="1" applyFont="1" applyFill="0" applyBorder="1" applyAlignment="1" applyProtection="0">
      <alignment horizontal="left" vertical="bottom"/>
    </xf>
    <xf numFmtId="49" fontId="1" borderId="1" applyNumberFormat="1" applyFont="1" applyFill="0" applyBorder="1" applyAlignment="1" applyProtection="0">
      <alignment vertical="top" wrapText="1"/>
    </xf>
    <xf numFmtId="2" fontId="17" borderId="1" applyNumberFormat="1" applyFont="1" applyFill="0" applyBorder="1" applyAlignment="1" applyProtection="0">
      <alignment horizontal="center" vertical="top"/>
    </xf>
    <xf numFmtId="4" fontId="1" borderId="1" applyNumberFormat="1" applyFont="1" applyFill="0" applyBorder="1" applyAlignment="1" applyProtection="0">
      <alignment vertical="bottom"/>
    </xf>
    <xf numFmtId="49" fontId="5" borderId="2" applyNumberFormat="1" applyFont="1" applyFill="0" applyBorder="1" applyAlignment="1" applyProtection="0">
      <alignment vertical="bottom"/>
    </xf>
    <xf numFmtId="49" fontId="19" fillId="2" borderId="3" applyNumberFormat="1" applyFont="1" applyFill="1" applyBorder="1" applyAlignment="1" applyProtection="0">
      <alignment horizontal="center" vertical="center"/>
    </xf>
    <xf numFmtId="49" fontId="1" borderId="4" applyNumberFormat="1" applyFont="1" applyFill="0" applyBorder="1" applyAlignment="1" applyProtection="0">
      <alignment vertical="bottom"/>
    </xf>
    <xf numFmtId="0" fontId="1" borderId="3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horizontal="left" vertical="bottom"/>
    </xf>
    <xf numFmtId="49" fontId="1" borderId="5" applyNumberFormat="1" applyFont="1" applyFill="0" applyBorder="1" applyAlignment="1" applyProtection="0">
      <alignment vertical="bottom"/>
    </xf>
    <xf numFmtId="49" fontId="1" fillId="2" borderId="3" applyNumberFormat="1" applyFont="1" applyFill="1" applyBorder="1" applyAlignment="1" applyProtection="0">
      <alignment vertical="bottom"/>
    </xf>
    <xf numFmtId="49" fontId="1" borderId="6" applyNumberFormat="1" applyFont="1" applyFill="0" applyBorder="1" applyAlignment="1" applyProtection="0">
      <alignment vertical="bottom"/>
    </xf>
    <xf numFmtId="2" fontId="20" borderId="1" applyNumberFormat="1" applyFont="1" applyFill="0" applyBorder="1" applyAlignment="1" applyProtection="0">
      <alignment vertical="bottom"/>
    </xf>
    <xf numFmtId="49" fontId="1" borderId="7" applyNumberFormat="1" applyFont="1" applyFill="0" applyBorder="1" applyAlignment="1" applyProtection="0">
      <alignment vertical="bottom"/>
    </xf>
    <xf numFmtId="49" fontId="21" borderId="1" applyNumberFormat="1" applyFont="1" applyFill="0" applyBorder="1" applyAlignment="1" applyProtection="0">
      <alignment vertical="bottom"/>
    </xf>
    <xf numFmtId="0" fontId="1" borderId="2" applyNumberFormat="0" applyFont="1" applyFill="0" applyBorder="1" applyAlignment="1" applyProtection="0">
      <alignment vertical="bottom"/>
    </xf>
    <xf numFmtId="0" fontId="8" borderId="2" applyNumberFormat="0" applyFont="1" applyFill="0" applyBorder="1" applyAlignment="1" applyProtection="0">
      <alignment vertical="bottom"/>
    </xf>
    <xf numFmtId="49" fontId="8" borderId="2" applyNumberFormat="1" applyFont="1" applyFill="0" applyBorder="1" applyAlignment="1" applyProtection="0">
      <alignment horizontal="center" vertical="bottom"/>
    </xf>
    <xf numFmtId="0" fontId="8" borderId="2" applyNumberFormat="0" applyFont="1" applyFill="0" applyBorder="1" applyAlignment="1" applyProtection="0">
      <alignment horizontal="center" vertical="bottom"/>
    </xf>
    <xf numFmtId="2" fontId="8" borderId="2" applyNumberFormat="1" applyFont="1" applyFill="0" applyBorder="1" applyAlignment="1" applyProtection="0">
      <alignment vertical="bottom"/>
    </xf>
    <xf numFmtId="2" fontId="1" borderId="2" applyNumberFormat="1" applyFont="1" applyFill="0" applyBorder="1" applyAlignment="1" applyProtection="0">
      <alignment vertical="bottom"/>
    </xf>
    <xf numFmtId="2" fontId="8" borderId="2" applyNumberFormat="1" applyFont="1" applyFill="0" applyBorder="1" applyAlignment="1" applyProtection="0">
      <alignment horizontal="center" vertical="bottom"/>
    </xf>
    <xf numFmtId="59" fontId="5" borderId="2" applyNumberFormat="1" applyFont="1" applyFill="0" applyBorder="1" applyAlignment="1" applyProtection="0">
      <alignment horizontal="center" vertical="bottom"/>
    </xf>
    <xf numFmtId="0" fontId="8" borderId="2" applyNumberFormat="1" applyFont="1" applyFill="0" applyBorder="1" applyAlignment="1" applyProtection="0">
      <alignment vertical="bottom"/>
    </xf>
    <xf numFmtId="1" fontId="1" borderId="2" applyNumberFormat="1" applyFont="1" applyFill="0" applyBorder="1" applyAlignment="1" applyProtection="0">
      <alignment vertical="bottom"/>
    </xf>
    <xf numFmtId="2" fontId="12" borderId="2" applyNumberFormat="1" applyFont="1" applyFill="0" applyBorder="1" applyAlignment="1" applyProtection="0">
      <alignment vertical="bottom"/>
    </xf>
    <xf numFmtId="59" fontId="1" borderId="2" applyNumberFormat="1" applyFont="1" applyFill="0" applyBorder="1" applyAlignment="1" applyProtection="0">
      <alignment vertical="bottom"/>
    </xf>
    <xf numFmtId="0" fontId="1" borderId="2" applyNumberFormat="1" applyFont="1" applyFill="0" applyBorder="1" applyAlignment="1" applyProtection="0">
      <alignment vertical="bottom"/>
    </xf>
    <xf numFmtId="59" fontId="14" borderId="2" applyNumberFormat="1" applyFont="1" applyFill="0" applyBorder="1" applyAlignment="1" applyProtection="0">
      <alignment vertical="bottom"/>
    </xf>
    <xf numFmtId="0" fontId="14" borderId="2" applyNumberFormat="0" applyFont="1" applyFill="0" applyBorder="1" applyAlignment="1" applyProtection="0">
      <alignment vertical="bottom"/>
    </xf>
    <xf numFmtId="0" fontId="14" borderId="2" applyNumberFormat="0" applyFont="1" applyFill="0" applyBorder="1" applyAlignment="1" applyProtection="0">
      <alignment horizontal="center" vertical="bottom"/>
    </xf>
    <xf numFmtId="49" fontId="1" borderId="2" applyNumberFormat="1" applyFont="1" applyFill="0" applyBorder="1" applyAlignment="1" applyProtection="0">
      <alignment vertical="bottom"/>
    </xf>
    <xf numFmtId="0" fontId="5" borderId="2" applyNumberFormat="0" applyFont="1" applyFill="0" applyBorder="1" applyAlignment="1" applyProtection="0">
      <alignment horizontal="left" vertical="bottom"/>
    </xf>
    <xf numFmtId="49" fontId="5" borderId="3" applyNumberFormat="1" applyFont="1" applyFill="0" applyBorder="1" applyAlignment="1" applyProtection="0">
      <alignment vertical="bottom"/>
    </xf>
    <xf numFmtId="0" fontId="1" borderId="3" applyNumberFormat="0" applyFont="1" applyFill="0" applyBorder="1" applyAlignment="1" applyProtection="0">
      <alignment horizontal="left" vertical="bottom"/>
    </xf>
    <xf numFmtId="0" fontId="8" borderId="3" applyNumberFormat="0" applyFont="1" applyFill="0" applyBorder="1" applyAlignment="1" applyProtection="0">
      <alignment vertical="bottom"/>
    </xf>
    <xf numFmtId="0" fontId="8" borderId="3" applyNumberFormat="0" applyFont="1" applyFill="0" applyBorder="1" applyAlignment="1" applyProtection="0">
      <alignment horizontal="center" vertical="bottom"/>
    </xf>
    <xf numFmtId="2" fontId="8" borderId="3" applyNumberFormat="1" applyFont="1" applyFill="0" applyBorder="1" applyAlignment="1" applyProtection="0">
      <alignment vertical="bottom"/>
    </xf>
    <xf numFmtId="2" fontId="5" borderId="3" applyNumberFormat="1" applyFont="1" applyFill="0" applyBorder="1" applyAlignment="1" applyProtection="0">
      <alignment vertical="bottom"/>
    </xf>
    <xf numFmtId="2" fontId="8" borderId="3" applyNumberFormat="1" applyFont="1" applyFill="0" applyBorder="1" applyAlignment="1" applyProtection="0">
      <alignment horizontal="center" vertical="bottom"/>
    </xf>
    <xf numFmtId="0" fontId="5" borderId="3" applyNumberFormat="0" applyFont="1" applyFill="0" applyBorder="1" applyAlignment="1" applyProtection="0">
      <alignment horizontal="center" vertical="bottom"/>
    </xf>
    <xf numFmtId="1" fontId="5" borderId="3" applyNumberFormat="1" applyFont="1" applyFill="0" applyBorder="1" applyAlignment="1" applyProtection="0">
      <alignment vertical="bottom"/>
    </xf>
    <xf numFmtId="2" fontId="6" borderId="3" applyNumberFormat="1" applyFont="1" applyFill="0" applyBorder="1" applyAlignment="1" applyProtection="0">
      <alignment vertical="bottom"/>
    </xf>
    <xf numFmtId="2" fontId="12" borderId="3" applyNumberFormat="1" applyFont="1" applyFill="0" applyBorder="1" applyAlignment="1" applyProtection="0">
      <alignment vertical="bottom"/>
    </xf>
    <xf numFmtId="2" fontId="1" borderId="3" applyNumberFormat="1" applyFont="1" applyFill="0" applyBorder="1" applyAlignment="1" applyProtection="0">
      <alignment vertical="bottom"/>
    </xf>
    <xf numFmtId="0" fontId="5" borderId="3" applyNumberFormat="0" applyFont="1" applyFill="0" applyBorder="1" applyAlignment="1" applyProtection="0">
      <alignment vertical="bottom"/>
    </xf>
    <xf numFmtId="59" fontId="1" borderId="3" applyNumberFormat="1" applyFont="1" applyFill="0" applyBorder="1" applyAlignment="1" applyProtection="0">
      <alignment vertical="bottom"/>
    </xf>
    <xf numFmtId="0" fontId="14" borderId="3" applyNumberFormat="0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horizontal="left" vertical="bottom"/>
    </xf>
    <xf numFmtId="49" fontId="5" borderId="8" applyNumberFormat="1" applyFont="1" applyFill="0" applyBorder="1" applyAlignment="1" applyProtection="0">
      <alignment horizontal="left" vertical="bottom"/>
    </xf>
    <xf numFmtId="49" fontId="1" borderId="8" applyNumberFormat="1" applyFont="1" applyFill="0" applyBorder="1" applyAlignment="1" applyProtection="0">
      <alignment horizontal="left" vertical="bottom"/>
    </xf>
    <xf numFmtId="49" fontId="1" borderId="8" applyNumberFormat="1" applyFont="1" applyFill="0" applyBorder="1" applyAlignment="1" applyProtection="0">
      <alignment vertical="bottom"/>
    </xf>
    <xf numFmtId="0" fontId="8" borderId="8" applyNumberFormat="0" applyFont="1" applyFill="0" applyBorder="1" applyAlignment="1" applyProtection="0">
      <alignment vertical="bottom"/>
    </xf>
    <xf numFmtId="49" fontId="8" borderId="8" applyNumberFormat="1" applyFont="1" applyFill="0" applyBorder="1" applyAlignment="1" applyProtection="0">
      <alignment vertical="bottom"/>
    </xf>
    <xf numFmtId="49" fontId="5" borderId="8" applyNumberFormat="1" applyFont="1" applyFill="0" applyBorder="1" applyAlignment="1" applyProtection="0">
      <alignment vertical="bottom"/>
    </xf>
    <xf numFmtId="49" fontId="6" borderId="8" applyNumberFormat="1" applyFont="1" applyFill="0" applyBorder="1" applyAlignment="1" applyProtection="0">
      <alignment vertical="bottom"/>
    </xf>
    <xf numFmtId="2" fontId="12" borderId="8" applyNumberFormat="1" applyFont="1" applyFill="0" applyBorder="1" applyAlignment="1" applyProtection="0">
      <alignment vertical="bottom"/>
    </xf>
    <xf numFmtId="2" fontId="8" borderId="8" applyNumberFormat="1" applyFont="1" applyFill="0" applyBorder="1" applyAlignment="1" applyProtection="0">
      <alignment vertical="bottom"/>
    </xf>
    <xf numFmtId="0" fontId="1" borderId="8" applyNumberFormat="0" applyFont="1" applyFill="0" applyBorder="1" applyAlignment="1" applyProtection="0">
      <alignment vertical="bottom"/>
    </xf>
    <xf numFmtId="0" fontId="12" borderId="8" applyNumberFormat="0" applyFont="1" applyFill="0" applyBorder="1" applyAlignment="1" applyProtection="0">
      <alignment vertical="bottom"/>
    </xf>
    <xf numFmtId="2" fontId="1" borderId="8" applyNumberFormat="1" applyFont="1" applyFill="0" applyBorder="1" applyAlignment="1" applyProtection="0">
      <alignment vertical="bottom"/>
    </xf>
    <xf numFmtId="59" fontId="1" borderId="8" applyNumberFormat="1" applyFont="1" applyFill="0" applyBorder="1" applyAlignment="1" applyProtection="0">
      <alignment vertical="bottom"/>
    </xf>
    <xf numFmtId="49" fontId="14" borderId="8" applyNumberFormat="1" applyFont="1" applyFill="0" applyBorder="1" applyAlignment="1" applyProtection="0">
      <alignment vertical="bottom"/>
    </xf>
    <xf numFmtId="0" fontId="1" borderId="8" applyNumberFormat="0" applyFont="1" applyFill="0" applyBorder="1" applyAlignment="1" applyProtection="0">
      <alignment horizontal="right" vertical="bottom"/>
    </xf>
    <xf numFmtId="0" fontId="6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ff40ff"/>
      <rgbColor rgb="ff0432ff"/>
      <rgbColor rgb="ff009192"/>
      <rgbColor rgb="ff3ca679"/>
      <rgbColor rgb="ffff2600"/>
      <rgbColor rgb="ff00f900"/>
      <rgbColor rgb="ff008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dier.sapanel@wanadoo.fr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CG374"/>
  <sheetViews>
    <sheetView workbookViewId="0" showGridLines="0" defaultGridColor="1"/>
  </sheetViews>
  <sheetFormatPr defaultColWidth="28.8" defaultRowHeight="11.45" customHeight="1" outlineLevelRow="0" outlineLevelCol="0"/>
  <cols>
    <col min="1" max="1" width="28.8125" style="1" customWidth="1"/>
    <col min="2" max="2" width="28.8125" style="1" customWidth="1"/>
    <col min="3" max="3" width="30.4219" style="1" customWidth="1"/>
    <col min="4" max="4" width="25.8125" style="1" customWidth="1"/>
    <col min="5" max="5" width="32.8125" style="1" customWidth="1"/>
    <col min="6" max="6" width="12.4219" style="1" customWidth="1"/>
    <col min="7" max="7" width="13.8125" style="1" customWidth="1"/>
    <col min="8" max="8" width="6.8125" style="1" customWidth="1"/>
    <col min="9" max="9" width="6.8125" style="1" customWidth="1"/>
    <col min="10" max="10" width="6.8125" style="1" customWidth="1"/>
    <col min="11" max="11" width="6.8125" style="1" customWidth="1"/>
    <col min="12" max="12" width="6.8125" style="1" customWidth="1"/>
    <col min="13" max="13" width="8" style="1" customWidth="1"/>
    <col min="14" max="14" width="9" style="1" customWidth="1"/>
    <col min="15" max="15" width="8.42188" style="1" customWidth="1"/>
    <col min="16" max="16" width="6.8125" style="1" customWidth="1"/>
    <col min="17" max="17" width="6.8125" style="1" customWidth="1"/>
    <col min="18" max="18" width="6.8125" style="1" customWidth="1"/>
    <col min="19" max="19" width="6.8125" style="1" customWidth="1"/>
    <col min="20" max="20" width="8.60156" style="1" customWidth="1"/>
    <col min="21" max="21" width="9" style="1" customWidth="1"/>
    <col min="22" max="22" width="9.21094" style="1" customWidth="1"/>
    <col min="23" max="23" width="8.42188" style="1" customWidth="1"/>
    <col min="24" max="24" width="8.42188" style="1" customWidth="1"/>
    <col min="25" max="25" width="8.42188" style="1" customWidth="1"/>
    <col min="26" max="26" width="8.42188" style="1" customWidth="1"/>
    <col min="27" max="27" width="8.42188" style="1" customWidth="1"/>
    <col min="28" max="28" width="8.42188" style="1" customWidth="1"/>
    <col min="29" max="29" width="8.42188" style="1" customWidth="1"/>
    <col min="30" max="30" width="8.42188" style="1" customWidth="1"/>
    <col min="31" max="31" width="8.42188" style="1" customWidth="1"/>
    <col min="32" max="32" width="8.42188" style="1" customWidth="1"/>
    <col min="33" max="33" width="8.42188" style="1" customWidth="1"/>
    <col min="34" max="34" width="8.42188" style="1" customWidth="1"/>
    <col min="35" max="35" width="8.42188" style="1" customWidth="1"/>
    <col min="36" max="36" width="8.42188" style="1" customWidth="1"/>
    <col min="37" max="37" width="8.42188" style="1" customWidth="1"/>
    <col min="38" max="38" width="8.42188" style="1" customWidth="1"/>
    <col min="39" max="39" width="6.8125" style="1" customWidth="1"/>
    <col min="40" max="40" width="6.8125" style="1" customWidth="1"/>
    <col min="41" max="41" width="6.8125" style="1" customWidth="1"/>
    <col min="42" max="42" width="8.8125" style="1" customWidth="1"/>
    <col min="43" max="43" width="8" style="1" customWidth="1"/>
    <col min="44" max="44" width="8.21094" style="1" customWidth="1"/>
    <col min="45" max="45" width="8.21094" style="1" customWidth="1"/>
    <col min="46" max="46" width="8.21094" style="1" customWidth="1"/>
    <col min="47" max="47" width="8.21094" style="1" customWidth="1"/>
    <col min="48" max="48" width="9" style="1" customWidth="1"/>
    <col min="49" max="49" width="9" style="1" customWidth="1"/>
    <col min="50" max="50" width="7.8125" style="1" customWidth="1"/>
    <col min="51" max="51" width="6.8125" style="1" customWidth="1"/>
    <col min="52" max="52" width="8" style="1" customWidth="1"/>
    <col min="53" max="53" width="10.6016" style="1" customWidth="1"/>
    <col min="54" max="54" width="6.8125" style="1" customWidth="1"/>
    <col min="55" max="55" width="6.8125" style="1" customWidth="1"/>
    <col min="56" max="56" width="6.8125" style="1" customWidth="1"/>
    <col min="57" max="57" width="6.8125" style="1" customWidth="1"/>
    <col min="58" max="58" width="9.8125" style="1" customWidth="1"/>
    <col min="59" max="59" width="9" style="1" customWidth="1"/>
    <col min="60" max="60" width="9" style="1" customWidth="1"/>
    <col min="61" max="61" width="6.8125" style="1" customWidth="1"/>
    <col min="62" max="62" width="10.6016" style="1" customWidth="1"/>
    <col min="63" max="63" width="6.8125" style="1" customWidth="1"/>
    <col min="64" max="64" width="6.8125" style="1" customWidth="1"/>
    <col min="65" max="65" width="6.8125" style="1" customWidth="1"/>
    <col min="66" max="66" width="8.8125" style="1" customWidth="1"/>
    <col min="67" max="67" width="6.8125" style="1" customWidth="1"/>
    <col min="68" max="68" width="9.21094" style="1" customWidth="1"/>
    <col min="69" max="69" width="6.8125" style="1" customWidth="1"/>
    <col min="70" max="70" width="6.8125" style="1" customWidth="1"/>
    <col min="71" max="71" width="6.8125" style="1" customWidth="1"/>
    <col min="72" max="72" width="6.8125" style="1" customWidth="1"/>
    <col min="73" max="73" width="6.8125" style="1" customWidth="1"/>
    <col min="74" max="74" width="8.42188" style="1" customWidth="1"/>
    <col min="75" max="75" width="10.2109" style="1" customWidth="1"/>
    <col min="76" max="76" width="10.4219" style="1" customWidth="1"/>
    <col min="77" max="77" width="9.21094" style="1" customWidth="1"/>
    <col min="78" max="78" width="9.21094" style="1" customWidth="1"/>
    <col min="79" max="79" width="26.8125" style="1" customWidth="1"/>
    <col min="80" max="80" width="40" style="1" customWidth="1"/>
    <col min="81" max="81" width="15.4219" style="1" customWidth="1"/>
    <col min="82" max="82" width="13.8125" style="1" customWidth="1"/>
    <col min="83" max="83" width="13.8125" style="1" customWidth="1"/>
    <col min="84" max="84" width="13.8125" style="1" customWidth="1"/>
    <col min="85" max="85" width="13.8125" style="1" customWidth="1"/>
    <col min="86" max="256" width="28.8125" style="1" customWidth="1"/>
  </cols>
  <sheetData>
    <row r="1" ht="10.5" customHeight="1">
      <c r="A1" t="s" s="2">
        <v>0</v>
      </c>
      <c r="B1" s="3"/>
      <c r="C1" s="3"/>
      <c r="D1" s="3"/>
      <c r="E1" t="s" s="2">
        <v>1</v>
      </c>
      <c r="F1" s="4"/>
      <c r="G1" s="4"/>
      <c r="H1" s="3"/>
      <c r="I1" s="3"/>
      <c r="J1" s="3"/>
      <c r="K1" s="3"/>
      <c r="L1" s="3"/>
      <c r="M1" s="5"/>
      <c r="N1" s="5"/>
      <c r="O1" t="s" s="6">
        <v>2</v>
      </c>
      <c r="P1" s="5"/>
      <c r="Q1" s="5"/>
      <c r="R1" s="3"/>
      <c r="S1" s="3"/>
      <c r="T1" s="7"/>
      <c r="U1" s="3"/>
      <c r="V1" s="8"/>
      <c r="W1" s="9"/>
      <c r="X1" s="9"/>
      <c r="Y1" s="9"/>
      <c r="Z1" s="9"/>
      <c r="AA1" s="5"/>
      <c r="AB1" s="5"/>
      <c r="AC1" s="5"/>
      <c r="AD1" t="s" s="10">
        <v>3</v>
      </c>
      <c r="AE1" s="5"/>
      <c r="AF1" s="5"/>
      <c r="AG1" s="5"/>
      <c r="AH1" s="5"/>
      <c r="AI1" t="s" s="6">
        <v>4</v>
      </c>
      <c r="AJ1" s="5"/>
      <c r="AK1" s="5"/>
      <c r="AL1" s="5"/>
      <c r="AM1" s="3"/>
      <c r="AN1" s="5"/>
      <c r="AO1" s="9"/>
      <c r="AP1" s="9"/>
      <c r="AQ1" s="3"/>
      <c r="AR1" s="5"/>
      <c r="AS1" s="5"/>
      <c r="AT1" s="5"/>
      <c r="AU1" s="5"/>
      <c r="AV1" s="11"/>
      <c r="AW1" s="11"/>
      <c r="AX1" s="11"/>
      <c r="AY1" s="11"/>
      <c r="AZ1" s="5"/>
      <c r="BA1" s="12"/>
      <c r="BB1" s="5"/>
      <c r="BC1" t="s" s="13">
        <v>5</v>
      </c>
      <c r="BD1" t="s" s="10">
        <v>6</v>
      </c>
      <c r="BE1" s="5"/>
      <c r="BF1" s="5"/>
      <c r="BG1" s="5"/>
      <c r="BH1" s="5"/>
      <c r="BI1" t="s" s="14">
        <v>7</v>
      </c>
      <c r="BJ1" t="s" s="10">
        <v>8</v>
      </c>
      <c r="BK1" s="15"/>
      <c r="BL1" s="5"/>
      <c r="BM1" s="3"/>
      <c r="BN1" s="12"/>
      <c r="BO1" s="5"/>
      <c r="BP1" s="8"/>
      <c r="BQ1" s="3"/>
      <c r="BR1" s="3"/>
      <c r="BS1" s="3"/>
      <c r="BT1" s="3"/>
      <c r="BU1" s="3"/>
      <c r="BV1" s="15"/>
      <c r="BW1" s="8"/>
      <c r="BX1" s="12"/>
      <c r="BY1" s="3"/>
      <c r="BZ1" s="3"/>
      <c r="CA1" s="4"/>
      <c r="CB1" s="4"/>
      <c r="CC1" s="3"/>
      <c r="CD1" s="3"/>
      <c r="CE1" s="3"/>
      <c r="CF1" s="3"/>
      <c r="CG1" s="3"/>
    </row>
    <row r="2" ht="9" customHeight="1">
      <c r="A2" s="16"/>
      <c r="B2" s="3"/>
      <c r="C2" s="3"/>
      <c r="D2" s="16"/>
      <c r="E2" s="3"/>
      <c r="F2" s="3"/>
      <c r="G2" s="3"/>
      <c r="H2" s="3"/>
      <c r="I2" s="3"/>
      <c r="J2" s="3"/>
      <c r="K2" s="3"/>
      <c r="L2" s="3"/>
      <c r="M2" s="17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1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7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17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ht="12.75" customHeight="1">
      <c r="A3" t="s" s="19">
        <v>9</v>
      </c>
      <c r="B3" s="3"/>
      <c r="C3" s="3"/>
      <c r="D3" s="3"/>
      <c r="E3" s="3"/>
      <c r="F3" s="3"/>
      <c r="G3" s="3"/>
      <c r="H3" t="s" s="20">
        <v>10</v>
      </c>
      <c r="I3" s="3"/>
      <c r="J3" s="3"/>
      <c r="K3" s="3"/>
      <c r="L3" s="3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t="s" s="21">
        <v>11</v>
      </c>
      <c r="AL3" s="5"/>
      <c r="AM3" s="3"/>
      <c r="AN3" s="5"/>
      <c r="AO3" s="5"/>
      <c r="AP3" s="5"/>
      <c r="AQ3" s="3"/>
      <c r="AR3" s="5"/>
      <c r="AS3" s="5"/>
      <c r="AT3" s="5"/>
      <c r="AU3" s="5"/>
      <c r="AV3" s="5"/>
      <c r="AW3" s="5"/>
      <c r="AX3" s="5"/>
      <c r="AY3" s="5"/>
      <c r="AZ3" s="5"/>
      <c r="BA3" s="12"/>
      <c r="BB3" s="5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ht="18.75" customHeight="1">
      <c r="A4" s="3"/>
      <c r="B4" s="3"/>
      <c r="C4" s="3"/>
      <c r="D4" s="3"/>
      <c r="E4" s="3"/>
      <c r="F4" s="3"/>
      <c r="G4" s="3"/>
      <c r="H4" t="s" s="22">
        <v>12</v>
      </c>
      <c r="I4" s="3"/>
      <c r="J4" s="3"/>
      <c r="K4" s="3"/>
      <c r="L4" s="3"/>
      <c r="M4" s="3"/>
      <c r="N4" s="3"/>
      <c r="O4" s="3"/>
      <c r="P4" t="s" s="19">
        <v>13</v>
      </c>
      <c r="Q4" s="5"/>
      <c r="R4" s="3"/>
      <c r="S4" s="3"/>
      <c r="T4" s="3"/>
      <c r="U4" s="3"/>
      <c r="V4" s="3"/>
      <c r="W4" t="s" s="19">
        <v>14</v>
      </c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t="s" s="19">
        <v>15</v>
      </c>
      <c r="AJ4" s="3"/>
      <c r="AK4" s="3"/>
      <c r="AL4" s="3"/>
      <c r="AM4" s="3"/>
      <c r="AN4" s="3"/>
      <c r="AO4" s="3"/>
      <c r="AP4" s="3"/>
      <c r="AQ4" s="3"/>
      <c r="AR4" s="3"/>
      <c r="AS4" t="s" s="19">
        <v>16</v>
      </c>
      <c r="AT4" s="5"/>
      <c r="AU4" s="5"/>
      <c r="AV4" s="5"/>
      <c r="AW4" s="5"/>
      <c r="AX4" s="3"/>
      <c r="AY4" s="3"/>
      <c r="AZ4" s="3"/>
      <c r="BA4" s="3"/>
      <c r="BB4" s="3"/>
      <c r="BC4" s="3"/>
      <c r="BD4" s="3"/>
      <c r="BE4" t="s" s="19">
        <v>17</v>
      </c>
      <c r="BF4" s="5"/>
      <c r="BG4" s="5"/>
      <c r="BH4" s="3"/>
      <c r="BI4" s="3"/>
      <c r="BJ4" s="3"/>
      <c r="BK4" t="s" s="19">
        <v>18</v>
      </c>
      <c r="BL4" s="5"/>
      <c r="BM4" s="3"/>
      <c r="BN4" s="3"/>
      <c r="BO4" s="3"/>
      <c r="BP4" s="3"/>
      <c r="BQ4" s="3"/>
      <c r="BR4" t="s" s="19">
        <v>19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ht="182.25" customHeight="1">
      <c r="A5" s="3"/>
      <c r="B5" s="3"/>
      <c r="C5" s="3"/>
      <c r="D5" s="23"/>
      <c r="E5" s="3"/>
      <c r="F5" s="4"/>
      <c r="G5" s="4"/>
      <c r="H5" t="s" s="24">
        <v>20</v>
      </c>
      <c r="I5" t="s" s="24">
        <v>21</v>
      </c>
      <c r="J5" t="s" s="24">
        <v>22</v>
      </c>
      <c r="K5" t="s" s="24">
        <v>23</v>
      </c>
      <c r="L5" t="s" s="24">
        <v>24</v>
      </c>
      <c r="M5" t="s" s="20">
        <v>25</v>
      </c>
      <c r="N5" t="s" s="25">
        <v>26</v>
      </c>
      <c r="O5" t="s" s="20">
        <v>27</v>
      </c>
      <c r="P5" t="s" s="20">
        <v>28</v>
      </c>
      <c r="Q5" t="s" s="20">
        <v>29</v>
      </c>
      <c r="R5" t="s" s="20">
        <v>30</v>
      </c>
      <c r="S5" t="s" s="20">
        <v>31</v>
      </c>
      <c r="T5" t="s" s="25">
        <v>32</v>
      </c>
      <c r="U5" t="s" s="20">
        <v>33</v>
      </c>
      <c r="V5" t="s" s="25">
        <v>34</v>
      </c>
      <c r="W5" t="s" s="26">
        <v>35</v>
      </c>
      <c r="X5" t="s" s="26">
        <v>36</v>
      </c>
      <c r="Y5" t="s" s="26">
        <v>37</v>
      </c>
      <c r="Z5" t="s" s="26">
        <v>38</v>
      </c>
      <c r="AA5" t="s" s="26">
        <v>39</v>
      </c>
      <c r="AB5" t="s" s="26">
        <v>40</v>
      </c>
      <c r="AC5" t="s" s="26">
        <v>41</v>
      </c>
      <c r="AD5" t="s" s="27">
        <v>42</v>
      </c>
      <c r="AE5" t="s" s="19">
        <v>43</v>
      </c>
      <c r="AF5" t="s" s="20">
        <v>44</v>
      </c>
      <c r="AG5" t="s" s="20">
        <v>45</v>
      </c>
      <c r="AH5" t="s" s="19">
        <v>46</v>
      </c>
      <c r="AI5" t="s" s="26">
        <v>47</v>
      </c>
      <c r="AJ5" t="s" s="26">
        <v>48</v>
      </c>
      <c r="AK5" t="s" s="21">
        <v>49</v>
      </c>
      <c r="AL5" t="s" s="19">
        <v>50</v>
      </c>
      <c r="AM5" t="s" s="20">
        <v>51</v>
      </c>
      <c r="AN5" t="s" s="20">
        <v>52</v>
      </c>
      <c r="AO5" t="s" s="20">
        <v>53</v>
      </c>
      <c r="AP5" t="s" s="19">
        <v>54</v>
      </c>
      <c r="AQ5" t="s" s="19">
        <v>55</v>
      </c>
      <c r="AR5" t="s" s="20">
        <v>56</v>
      </c>
      <c r="AS5" t="s" s="26">
        <v>57</v>
      </c>
      <c r="AT5" t="s" s="26">
        <v>58</v>
      </c>
      <c r="AU5" t="s" s="26">
        <v>59</v>
      </c>
      <c r="AV5" t="s" s="21">
        <v>60</v>
      </c>
      <c r="AW5" t="s" s="19">
        <v>61</v>
      </c>
      <c r="AX5" t="s" s="20">
        <v>62</v>
      </c>
      <c r="AY5" t="s" s="19">
        <v>63</v>
      </c>
      <c r="AZ5" t="s" s="19">
        <v>64</v>
      </c>
      <c r="BA5" s="12"/>
      <c r="BB5" t="s" s="26">
        <v>65</v>
      </c>
      <c r="BC5" t="s" s="26">
        <v>66</v>
      </c>
      <c r="BD5" t="s" s="26">
        <v>67</v>
      </c>
      <c r="BE5" t="s" s="26">
        <v>68</v>
      </c>
      <c r="BF5" t="s" s="21">
        <v>69</v>
      </c>
      <c r="BG5" t="s" s="19">
        <v>70</v>
      </c>
      <c r="BH5" t="s" s="19">
        <v>71</v>
      </c>
      <c r="BI5" t="s" s="19">
        <v>72</v>
      </c>
      <c r="BJ5" t="s" s="25">
        <v>73</v>
      </c>
      <c r="BK5" t="s" s="20">
        <v>74</v>
      </c>
      <c r="BL5" t="s" s="19">
        <v>75</v>
      </c>
      <c r="BM5" t="s" s="19">
        <v>76</v>
      </c>
      <c r="BN5" t="s" s="19">
        <v>77</v>
      </c>
      <c r="BO5" t="s" s="19">
        <v>78</v>
      </c>
      <c r="BP5" t="s" s="25">
        <v>79</v>
      </c>
      <c r="BQ5" t="s" s="20">
        <v>80</v>
      </c>
      <c r="BR5" t="s" s="20">
        <v>81</v>
      </c>
      <c r="BS5" t="s" s="20">
        <v>82</v>
      </c>
      <c r="BT5" t="s" s="20">
        <v>83</v>
      </c>
      <c r="BU5" t="s" s="20">
        <v>84</v>
      </c>
      <c r="BV5" t="s" s="25">
        <v>85</v>
      </c>
      <c r="BW5" s="8"/>
      <c r="BX5" t="s" s="28">
        <v>86</v>
      </c>
      <c r="BY5" t="s" s="28">
        <v>87</v>
      </c>
      <c r="BZ5" s="29"/>
      <c r="CA5" s="4"/>
      <c r="CB5" s="4"/>
      <c r="CC5" t="s" s="13">
        <v>88</v>
      </c>
      <c r="CD5" s="3"/>
      <c r="CE5" s="3"/>
      <c r="CF5" s="3"/>
      <c r="CG5" s="3"/>
    </row>
    <row r="6" ht="12.75" customHeight="1">
      <c r="A6" t="s" s="30">
        <v>89</v>
      </c>
      <c r="B6" t="s" s="31">
        <v>90</v>
      </c>
      <c r="C6" t="s" s="19">
        <v>91</v>
      </c>
      <c r="D6" t="s" s="19">
        <v>92</v>
      </c>
      <c r="E6" t="s" s="19">
        <v>93</v>
      </c>
      <c r="F6" t="s" s="31">
        <v>94</v>
      </c>
      <c r="G6" t="s" s="31">
        <v>95</v>
      </c>
      <c r="H6" s="32"/>
      <c r="I6" s="32"/>
      <c r="J6" s="32"/>
      <c r="K6" s="32"/>
      <c r="L6" s="32"/>
      <c r="M6" t="s" s="20">
        <v>96</v>
      </c>
      <c r="N6" t="s" s="25">
        <v>97</v>
      </c>
      <c r="O6" t="s" s="20">
        <v>98</v>
      </c>
      <c r="P6" t="s" s="20">
        <v>99</v>
      </c>
      <c r="Q6" t="s" s="20">
        <v>99</v>
      </c>
      <c r="R6" t="s" s="20">
        <v>99</v>
      </c>
      <c r="S6" t="s" s="20">
        <v>99</v>
      </c>
      <c r="T6" t="s" s="25">
        <v>100</v>
      </c>
      <c r="U6" t="s" s="20">
        <v>101</v>
      </c>
      <c r="V6" t="s" s="25">
        <v>102</v>
      </c>
      <c r="W6" t="s" s="26">
        <v>103</v>
      </c>
      <c r="X6" t="s" s="26">
        <v>104</v>
      </c>
      <c r="Y6" t="s" s="26">
        <v>105</v>
      </c>
      <c r="Z6" t="s" s="26">
        <v>106</v>
      </c>
      <c r="AA6" t="s" s="26">
        <v>107</v>
      </c>
      <c r="AB6" t="s" s="26">
        <v>108</v>
      </c>
      <c r="AC6" t="s" s="26">
        <v>109</v>
      </c>
      <c r="AD6" s="33"/>
      <c r="AE6" t="s" s="19">
        <v>110</v>
      </c>
      <c r="AF6" s="11"/>
      <c r="AG6" t="s" s="20">
        <v>111</v>
      </c>
      <c r="AH6" t="s" s="19">
        <v>112</v>
      </c>
      <c r="AI6" t="s" s="26">
        <v>113</v>
      </c>
      <c r="AJ6" t="s" s="26">
        <v>114</v>
      </c>
      <c r="AK6" s="33"/>
      <c r="AL6" t="s" s="19">
        <v>115</v>
      </c>
      <c r="AM6" s="32"/>
      <c r="AN6" t="s" s="20">
        <v>116</v>
      </c>
      <c r="AO6" t="s" s="20">
        <v>117</v>
      </c>
      <c r="AP6" t="s" s="19">
        <v>118</v>
      </c>
      <c r="AQ6" s="3"/>
      <c r="AR6" t="s" s="20">
        <v>119</v>
      </c>
      <c r="AS6" t="s" s="26">
        <v>120</v>
      </c>
      <c r="AT6" t="s" s="26">
        <v>121</v>
      </c>
      <c r="AU6" t="s" s="26">
        <v>122</v>
      </c>
      <c r="AV6" s="34"/>
      <c r="AW6" t="s" s="19">
        <v>123</v>
      </c>
      <c r="AX6" t="s" s="20">
        <v>124</v>
      </c>
      <c r="AY6" t="s" s="19">
        <v>125</v>
      </c>
      <c r="AZ6" t="s" s="19">
        <v>126</v>
      </c>
      <c r="BA6" t="s" s="19">
        <v>127</v>
      </c>
      <c r="BB6" t="s" s="26">
        <v>128</v>
      </c>
      <c r="BC6" t="s" s="26">
        <v>129</v>
      </c>
      <c r="BD6" t="s" s="26">
        <v>130</v>
      </c>
      <c r="BE6" t="s" s="26">
        <v>131</v>
      </c>
      <c r="BF6" s="33"/>
      <c r="BG6" t="s" s="19">
        <v>132</v>
      </c>
      <c r="BH6" t="s" s="19">
        <v>133</v>
      </c>
      <c r="BI6" s="3"/>
      <c r="BJ6" t="s" s="25">
        <v>134</v>
      </c>
      <c r="BK6" t="s" s="20">
        <v>135</v>
      </c>
      <c r="BL6" s="5"/>
      <c r="BM6" s="3"/>
      <c r="BN6" s="12"/>
      <c r="BO6" t="s" s="19">
        <v>136</v>
      </c>
      <c r="BP6" t="s" s="25">
        <v>137</v>
      </c>
      <c r="BQ6" t="s" s="20">
        <v>138</v>
      </c>
      <c r="BR6" s="32"/>
      <c r="BS6" s="32"/>
      <c r="BT6" s="32"/>
      <c r="BU6" s="32"/>
      <c r="BV6" t="s" s="25">
        <v>139</v>
      </c>
      <c r="BW6" t="s" s="25">
        <v>140</v>
      </c>
      <c r="BX6" t="s" s="28">
        <v>141</v>
      </c>
      <c r="BY6" t="s" s="28">
        <v>142</v>
      </c>
      <c r="BZ6" t="s" s="28">
        <v>143</v>
      </c>
      <c r="CA6" t="s" s="30">
        <v>144</v>
      </c>
      <c r="CB6" t="s" s="30">
        <v>145</v>
      </c>
      <c r="CC6" s="35"/>
      <c r="CD6" t="s" s="25">
        <v>146</v>
      </c>
      <c r="CE6" s="3"/>
      <c r="CF6" s="3"/>
      <c r="CG6" t="s" s="30">
        <f>A6</f>
        <v>147</v>
      </c>
    </row>
    <row r="7" ht="12.75" customHeight="1">
      <c r="A7" t="s" s="25">
        <v>148</v>
      </c>
      <c r="B7" t="s" s="19">
        <v>149</v>
      </c>
      <c r="C7" t="s" s="19">
        <v>150</v>
      </c>
      <c r="D7" t="s" s="19">
        <v>151</v>
      </c>
      <c r="E7" t="s" s="19">
        <v>152</v>
      </c>
      <c r="F7" t="s" s="19">
        <v>153</v>
      </c>
      <c r="G7" s="3"/>
      <c r="H7" s="32"/>
      <c r="I7" s="32"/>
      <c r="J7" s="36"/>
      <c r="K7" t="s" s="24">
        <v>154</v>
      </c>
      <c r="L7" s="36"/>
      <c r="M7" s="11">
        <v>6.55</v>
      </c>
      <c r="N7" s="5">
        <v>6.52</v>
      </c>
      <c r="O7" s="11">
        <v>4.68</v>
      </c>
      <c r="P7" s="11"/>
      <c r="Q7" s="37">
        <v>1.3</v>
      </c>
      <c r="R7" s="36"/>
      <c r="S7" s="36"/>
      <c r="T7" s="38">
        <f>IF(S7&gt;0,1.048,IF(R7&gt;0,1.048,IF(Q7&gt;0,1.036,0.907+1.55*(P7/N7)-4.449*(P7/N7)^2)))</f>
        <v>1.036</v>
      </c>
      <c r="U7" s="39">
        <v>720</v>
      </c>
      <c r="V7" s="40">
        <f>IF(H7="x",75+U7,IF(M7&lt;6.66,150+U7,-1.7384*M7^2+92.38*M7-388+U7))</f>
        <v>870</v>
      </c>
      <c r="W7" s="5">
        <v>7.5</v>
      </c>
      <c r="X7" s="5"/>
      <c r="Y7" s="5"/>
      <c r="Z7" s="5"/>
      <c r="AA7" s="5"/>
      <c r="AB7" s="5"/>
      <c r="AC7" s="5"/>
      <c r="AD7" s="33">
        <v>19</v>
      </c>
      <c r="AE7" s="5">
        <f>IF(AD7=0,(W7+4*X7+2*Y7+4*Z7+AA7)*AC7/12+W7*AB7/1.5,AD7)</f>
        <v>19</v>
      </c>
      <c r="AF7" s="11">
        <v>8</v>
      </c>
      <c r="AG7" s="11"/>
      <c r="AH7" s="5">
        <f>IF(AC7=0,AE7+AF7*AG7/2,AE7+AC7*AG7/2)</f>
        <v>19</v>
      </c>
      <c r="AI7" s="5">
        <v>7.4</v>
      </c>
      <c r="AJ7" s="3"/>
      <c r="AK7" s="33">
        <v>9</v>
      </c>
      <c r="AL7" s="5">
        <f>IF(AK7=0,AI7*AJ7/2,AK7)</f>
        <v>9</v>
      </c>
      <c r="AM7" t="s" s="19">
        <v>154</v>
      </c>
      <c r="AN7" s="5"/>
      <c r="AO7" s="5"/>
      <c r="AP7" s="5">
        <f>AL7+AI7*(AN7-AO7)/2</f>
        <v>9</v>
      </c>
      <c r="AQ7" s="5">
        <f>0.1*(AE7+AL7)</f>
        <v>2.8</v>
      </c>
      <c r="AR7" s="11">
        <v>8.5</v>
      </c>
      <c r="AS7" s="11"/>
      <c r="AT7" s="11"/>
      <c r="AU7" s="11"/>
      <c r="AV7" s="33">
        <v>25</v>
      </c>
      <c r="AW7" s="5">
        <f>IF(AV7=0,AS7/6*(AT7+AU7*4),AV7)</f>
        <v>25</v>
      </c>
      <c r="AX7" s="11">
        <v>0.9</v>
      </c>
      <c r="AY7" s="5">
        <f>IF(AX7&lt;0.149*M7+0.329,1,AX7/(0.149*M7+0.329))</f>
        <v>1</v>
      </c>
      <c r="AZ7" s="5">
        <f>IF(AW7*AY7&gt;AL7,(AW7*AY7-AL7)/4,0)</f>
        <v>4</v>
      </c>
      <c r="BA7" s="12">
        <f>0.401+0.1831*(2*AR7^2/(AH7+AP7+AZ7))-0.02016*(2*AR7^2/(AH7+AP7+AZ7))^2+0.0007472*(2*AR7^2/(AH7+AP7+AZ7))^3</f>
        <v>0.8855313374206544</v>
      </c>
      <c r="BB7" s="3"/>
      <c r="BC7" s="3"/>
      <c r="BD7" s="3"/>
      <c r="BE7" s="3"/>
      <c r="BF7" s="33"/>
      <c r="BG7" s="5">
        <f>IF(BF7=0,(BC7+BD7)*(BB7/12+BE7/3),BF7)</f>
        <v>0</v>
      </c>
      <c r="BH7" s="5">
        <f>IF(BG7*AY7&gt;AL7+AZ7,BG7*AY7-AL7-AZ7,0)</f>
        <v>0</v>
      </c>
      <c r="BI7" s="5">
        <f>IF(M7/1.6&lt;8,ROUND(M7/1.6,0),8)</f>
        <v>4</v>
      </c>
      <c r="BJ7" s="5">
        <f>(AH7+AP7+AZ7)*BA7+0.1*BH7</f>
        <v>28.33700279746094</v>
      </c>
      <c r="BK7" s="11">
        <v>1.5</v>
      </c>
      <c r="BL7" s="5">
        <f>M7*0.2</f>
        <v>1.31</v>
      </c>
      <c r="BM7" s="5">
        <f>ROUNDDOWN(M7/2.13,0)</f>
        <v>3</v>
      </c>
      <c r="BN7" s="12">
        <f>M7/4.26</f>
        <v>1.537558685446009</v>
      </c>
      <c r="BO7" s="5">
        <f>IF(M7&lt;8,1.22,IF(M7&lt;15.2,0.108333*M7+0.353,2))</f>
        <v>1.22</v>
      </c>
      <c r="BP7" s="12">
        <f>IF(BK7&lt;BO7,1+0.3*(BO7-BK7)/M7,1)</f>
        <v>1</v>
      </c>
      <c r="BQ7" s="39">
        <v>5</v>
      </c>
      <c r="BR7" s="39">
        <v>1</v>
      </c>
      <c r="BS7" t="s" s="24">
        <v>154</v>
      </c>
      <c r="BT7" s="36"/>
      <c r="BU7" s="36"/>
      <c r="BV7" s="5">
        <f>IF(BQ7&lt;(M7/0.3048)^0.5,1,IF(BU7="x",1-BR7*0.02,IF(BT7="x",1-BR7*0.01,1)))</f>
        <v>1</v>
      </c>
      <c r="BW7" s="12">
        <f>IF(K7="x",MIN(1.315,1.28+U7*N7/BJ7/AR7/1100),IF(L7="x",1.28,MAX(1.245,1.28-U7*N7/BJ7/AR7/1100)))</f>
        <v>1.29771799473285</v>
      </c>
      <c r="BX7" s="41">
        <f>BW7*T7*BV7*BP7*N7^0.3*BJ7^0.4/V7^0.325</f>
        <v>0.9963505595612802</v>
      </c>
      <c r="BY7" s="29"/>
      <c r="BZ7" s="29"/>
      <c r="CA7" s="3"/>
      <c r="CB7" s="3"/>
      <c r="CC7" s="3"/>
      <c r="CD7" s="3"/>
      <c r="CE7" s="3"/>
      <c r="CF7" s="3"/>
      <c r="CG7" t="s" s="30">
        <f>A7</f>
        <v>155</v>
      </c>
    </row>
    <row r="8" ht="12.75" customHeight="1">
      <c r="A8" t="s" s="25">
        <v>156</v>
      </c>
      <c r="B8" t="s" s="19">
        <v>157</v>
      </c>
      <c r="C8" t="s" s="19">
        <v>158</v>
      </c>
      <c r="D8" t="s" s="19">
        <v>159</v>
      </c>
      <c r="E8" t="s" s="19">
        <v>160</v>
      </c>
      <c r="F8" s="3"/>
      <c r="G8" s="3"/>
      <c r="H8" s="32"/>
      <c r="I8" s="32"/>
      <c r="J8" t="s" s="24">
        <v>154</v>
      </c>
      <c r="K8" s="36"/>
      <c r="L8" s="36"/>
      <c r="M8" s="11">
        <v>16.3</v>
      </c>
      <c r="N8" s="5">
        <v>16.3</v>
      </c>
      <c r="O8" s="11"/>
      <c r="P8" s="11"/>
      <c r="Q8" s="37"/>
      <c r="R8" t="s" s="24">
        <v>161</v>
      </c>
      <c r="S8" s="36"/>
      <c r="T8" s="38">
        <f>IF(S8&gt;0,1.048,IF(R8&gt;0,1.048,IF(Q8&gt;0,1.036,0.907+1.55*(P8/N8)-4.449*(P8/N8)^2)))</f>
        <v>1.048</v>
      </c>
      <c r="U8" s="39">
        <v>9350</v>
      </c>
      <c r="V8" s="40">
        <f>IF(H8="x",75+U8,IF(M8&lt;6.66,150+U8,-1.7384*M8^2+92.38*M8-388+U8))</f>
        <v>10005.918504</v>
      </c>
      <c r="W8" s="5"/>
      <c r="X8" s="5"/>
      <c r="Y8" s="5"/>
      <c r="Z8" s="5"/>
      <c r="AA8" s="5"/>
      <c r="AB8" s="5"/>
      <c r="AC8" s="5">
        <v>18</v>
      </c>
      <c r="AD8" s="33">
        <v>78</v>
      </c>
      <c r="AE8" s="5">
        <f>IF(AD8=0,(W8+4*X8+2*Y8+4*Z8+AA8)*AC8/12+W8*AB8/1.5,AD8)</f>
        <v>78</v>
      </c>
      <c r="AF8" s="11">
        <v>19</v>
      </c>
      <c r="AG8" s="11"/>
      <c r="AH8" s="5">
        <f>IF(AC8=0,AE8+AF8*AG8/2,AE8+AC8*AG8/2)</f>
        <v>78</v>
      </c>
      <c r="AI8" s="3"/>
      <c r="AJ8" s="3"/>
      <c r="AK8" s="33">
        <v>56</v>
      </c>
      <c r="AL8" s="5">
        <f>IF(AK8=0,AI8*AJ8/2,AK8)</f>
        <v>56</v>
      </c>
      <c r="AM8" s="3"/>
      <c r="AN8" s="5"/>
      <c r="AO8" s="5"/>
      <c r="AP8" s="5">
        <f>AL8+AI8*(AN8-AO8)/2</f>
        <v>56</v>
      </c>
      <c r="AQ8" s="5">
        <f>0.1*(AE8+AL8)</f>
        <v>13.4</v>
      </c>
      <c r="AR8" s="11">
        <v>20.4</v>
      </c>
      <c r="AS8" s="11"/>
      <c r="AT8" s="11"/>
      <c r="AU8" s="11"/>
      <c r="AV8" s="33">
        <v>110</v>
      </c>
      <c r="AW8" s="5">
        <f>IF(AV8=0,AS8/6*(AT8+AU8*4),AV8)</f>
        <v>110</v>
      </c>
      <c r="AX8" s="11"/>
      <c r="AY8" s="5">
        <f>IF(AX8&lt;0.149*M8+0.329,1,AX8/(0.149*M8+0.329))</f>
        <v>1</v>
      </c>
      <c r="AZ8" s="5">
        <f>IF(AW8*AY8&gt;AL8,(AW8*AY8-AL8)/4,0)</f>
        <v>13.5</v>
      </c>
      <c r="BA8" s="12">
        <f>0.401+0.1831*(2*AR8^2/(AH8+AP8+AZ8))-0.02016*(2*AR8^2/(AH8+AP8+AZ8))^2+0.0007472*(2*AR8^2/(AH8+AP8+AZ8))^3</f>
        <v>0.9265315540781807</v>
      </c>
      <c r="BB8" s="3"/>
      <c r="BC8" s="3"/>
      <c r="BD8" s="3"/>
      <c r="BE8" s="3"/>
      <c r="BF8" s="33">
        <v>187</v>
      </c>
      <c r="BG8" s="5">
        <f>IF(BF8=0,(BC8+BD8)*(BB8/12+BE8/3),BF8)</f>
        <v>187</v>
      </c>
      <c r="BH8" s="5">
        <f>IF(BG8*AY8&gt;AL8+AZ8,BG8*AY8-AL8-AZ8,0)</f>
        <v>117.5</v>
      </c>
      <c r="BI8" s="42">
        <f>IF(M8/1.6&lt;8,ROUND(M8/1.6,0),8)</f>
        <v>8</v>
      </c>
      <c r="BJ8" s="5">
        <f>(AH8+AP8+AZ8)*BA8+0.1*BH8</f>
        <v>148.4134042265316</v>
      </c>
      <c r="BK8" s="11">
        <v>2</v>
      </c>
      <c r="BL8" s="5">
        <f>M8*0.2</f>
        <v>3.26</v>
      </c>
      <c r="BM8" s="5">
        <f>ROUNDDOWN(M8/2.13,0)</f>
        <v>7</v>
      </c>
      <c r="BN8" s="12">
        <f>M8/4.26</f>
        <v>3.826291079812207</v>
      </c>
      <c r="BO8" s="5">
        <f>IF(M8&lt;8,1.22,IF(M8&lt;15.2,0.108333*M8+0.353,2))</f>
        <v>2</v>
      </c>
      <c r="BP8" s="12">
        <f>IF(BK8&lt;BO8,1+0.3*(BO8-BK8)/M8,1)</f>
        <v>1</v>
      </c>
      <c r="BQ8" s="39">
        <v>13</v>
      </c>
      <c r="BR8" s="39">
        <v>2</v>
      </c>
      <c r="BS8" s="36"/>
      <c r="BT8" t="s" s="24">
        <v>154</v>
      </c>
      <c r="BU8" s="36"/>
      <c r="BV8" s="5">
        <f>IF(BQ8&lt;(M8/0.3048)^0.5,1,IF(BU8="x",1-BR8*0.02,IF(BT8="x",1-BR8*0.01,1)))</f>
        <v>0.98</v>
      </c>
      <c r="BW8" s="12">
        <f>IF(K8="x",MIN(1.315,1.28+U8*N8/BJ8/AR8/1100),IF(L8="x",1.28,MAX(1.245,1.28-U8*N8/BJ8/AR8/1100)))</f>
        <v>1.245</v>
      </c>
      <c r="BX8" s="41">
        <f>BW8*T8*BV8*BP8*N8^0.3*BJ8^0.4/V8^0.325</f>
        <v>1.093751670629351</v>
      </c>
      <c r="BY8" s="29"/>
      <c r="BZ8" s="29"/>
      <c r="CA8" t="s" s="19">
        <v>162</v>
      </c>
      <c r="CB8" t="s" s="19">
        <v>163</v>
      </c>
      <c r="CC8" t="s" s="19">
        <v>164</v>
      </c>
      <c r="CD8" s="3"/>
      <c r="CE8" s="3"/>
      <c r="CF8" s="3"/>
      <c r="CG8" t="s" s="30">
        <f>A8</f>
        <v>165</v>
      </c>
    </row>
    <row r="9" ht="12.75" customHeight="1">
      <c r="A9" t="s" s="25">
        <v>166</v>
      </c>
      <c r="B9" t="s" s="19">
        <v>167</v>
      </c>
      <c r="C9" t="s" s="19">
        <v>168</v>
      </c>
      <c r="D9" t="s" s="19">
        <v>169</v>
      </c>
      <c r="E9" t="s" s="19">
        <v>170</v>
      </c>
      <c r="F9" t="s" s="19">
        <v>171</v>
      </c>
      <c r="G9" t="s" s="19">
        <v>172</v>
      </c>
      <c r="H9" s="32"/>
      <c r="I9" s="32"/>
      <c r="J9" s="36"/>
      <c r="K9" t="s" s="24">
        <v>154</v>
      </c>
      <c r="L9" s="36"/>
      <c r="M9" s="11">
        <v>10</v>
      </c>
      <c r="N9" s="5">
        <v>10</v>
      </c>
      <c r="O9" s="11">
        <v>10</v>
      </c>
      <c r="P9" s="11"/>
      <c r="Q9" s="37"/>
      <c r="R9" s="43">
        <v>1.6</v>
      </c>
      <c r="S9" s="36"/>
      <c r="T9" s="38">
        <f>IF(S9&gt;0,1.048,IF(R9&gt;0,1.048,IF(Q9&gt;0,1.036,0.907+1.55*(P9/N9)-4.449*(P9/N9)^2)))</f>
        <v>1.048</v>
      </c>
      <c r="U9" s="39">
        <v>2250</v>
      </c>
      <c r="V9" s="40">
        <f>IF(H9="x",75+U9,IF(M9&lt;6.66,150+U9,-1.7384*M9^2+92.38*M9-388+U9))</f>
        <v>2611.96</v>
      </c>
      <c r="W9" s="5"/>
      <c r="X9" s="5"/>
      <c r="Y9" s="5"/>
      <c r="Z9" s="5"/>
      <c r="AA9" s="5"/>
      <c r="AB9" s="5"/>
      <c r="AC9" s="5">
        <v>13.7</v>
      </c>
      <c r="AD9" s="33">
        <v>40</v>
      </c>
      <c r="AE9" s="5">
        <f>IF(AD9=0,(W9+4*X9+2*Y9+4*Z9+AA9)*AC9/12+W9*AB9/1.5,AD9)</f>
        <v>40</v>
      </c>
      <c r="AF9" s="11">
        <v>14</v>
      </c>
      <c r="AG9" s="11"/>
      <c r="AH9" s="5">
        <f>IF(AC9=0,AE9+AF9*AG9/2,AE9+AC9*AG9/2)</f>
        <v>40</v>
      </c>
      <c r="AI9" s="3"/>
      <c r="AJ9" s="3"/>
      <c r="AK9" s="33">
        <v>22</v>
      </c>
      <c r="AL9" s="5">
        <f>IF(AK9=0,AI9*AJ9/2,AK9)</f>
        <v>22</v>
      </c>
      <c r="AM9" s="3"/>
      <c r="AN9" s="5">
        <v>0.1</v>
      </c>
      <c r="AO9" s="5"/>
      <c r="AP9" s="5">
        <f>AL9+AI9*(AN9-AO9)/2</f>
        <v>22</v>
      </c>
      <c r="AQ9" s="5">
        <f>0.1*(AE9+AL9)</f>
        <v>6.2</v>
      </c>
      <c r="AR9" s="11">
        <v>14</v>
      </c>
      <c r="AS9" s="11"/>
      <c r="AT9" s="11"/>
      <c r="AU9" s="11"/>
      <c r="AV9" s="33"/>
      <c r="AW9" s="5">
        <f>IF(AV9=0,AS9/6*(AT9+AU9*4),AV9)</f>
        <v>0</v>
      </c>
      <c r="AX9" s="11">
        <v>1.3</v>
      </c>
      <c r="AY9" s="5">
        <f>IF(AX9&lt;0.149*M9+0.329,1,AX9/(0.149*M9+0.329))</f>
        <v>1</v>
      </c>
      <c r="AZ9" s="5">
        <f>IF(AW9*AY9&gt;AL9,(AW9*AY9-AL9)/4,0)</f>
        <v>0</v>
      </c>
      <c r="BA9" s="12">
        <f>0.401+0.1831*(2*AR9^2/(AH9+AP9+AZ9))-0.02016*(2*AR9^2/(AH9+AP9+AZ9))^2+0.0007472*(2*AR9^2/(AH9+AP9+AZ9))^3</f>
        <v>0.9416192990903292</v>
      </c>
      <c r="BB9" s="3"/>
      <c r="BC9" s="3"/>
      <c r="BD9" s="3"/>
      <c r="BE9" s="3"/>
      <c r="BF9" s="33"/>
      <c r="BG9" s="5">
        <f>IF(BF9=0,(BC9+BD9)*(BB9/12+BE9/3),BF9)</f>
        <v>0</v>
      </c>
      <c r="BH9" s="5">
        <f>IF(BG9*AY9&gt;AL9+AZ9,BG9*AY9-AL9-AZ9,0)</f>
        <v>0</v>
      </c>
      <c r="BI9" s="5">
        <f>IF(M9/1.6&lt;8,ROUND(M9/1.6,0),8)</f>
        <v>6</v>
      </c>
      <c r="BJ9" s="5">
        <f>(AH9+AP9+AZ9)*BA9+0.1*BH9</f>
        <v>58.3803965436004</v>
      </c>
      <c r="BK9" s="11">
        <v>1.82</v>
      </c>
      <c r="BL9" s="5">
        <f>M9*0.2</f>
        <v>2</v>
      </c>
      <c r="BM9" s="5">
        <f>ROUNDDOWN(M9/2.13,0)</f>
        <v>4</v>
      </c>
      <c r="BN9" s="12">
        <f>M9/4.26</f>
        <v>2.347417840375587</v>
      </c>
      <c r="BO9" s="5">
        <f>IF(M9&lt;8,1.22,IF(M9&lt;15.2,0.108333*M9+0.353,2))</f>
        <v>1.43633</v>
      </c>
      <c r="BP9" s="12">
        <f>IF(BK9&lt;BO9,1+0.3*(BO9-BK9)/M9,1)</f>
        <v>1</v>
      </c>
      <c r="BQ9" s="39">
        <v>8</v>
      </c>
      <c r="BR9" s="39">
        <v>1</v>
      </c>
      <c r="BS9" t="s" s="24">
        <v>154</v>
      </c>
      <c r="BT9" s="36"/>
      <c r="BU9" s="36"/>
      <c r="BV9" s="5">
        <f>IF(BQ9&lt;(M9/0.3048)^0.5,1,IF(BU9="x",1-BR9*0.02,IF(BT9="x",1-BR9*0.01,1)))</f>
        <v>1</v>
      </c>
      <c r="BW9" s="12">
        <f>IF(K9="x",MIN(1.315,1.28+U9*N9/BJ9/AR9/1100),IF(L9="x",1.28,MAX(1.245,1.28-U9*N9/BJ9/AR9/1100)))</f>
        <v>1.305026191111049</v>
      </c>
      <c r="BX9" s="41">
        <f>BW9*T9*BV9*BP9*N9^0.3*BJ9^0.4/V9^0.325</f>
        <v>1.076398805356723</v>
      </c>
      <c r="BY9" s="29"/>
      <c r="BZ9" s="29"/>
      <c r="CA9" s="3"/>
      <c r="CB9" s="3"/>
      <c r="CC9" s="3"/>
      <c r="CD9" s="3"/>
      <c r="CE9" s="3"/>
      <c r="CF9" s="3"/>
      <c r="CG9" t="s" s="30">
        <f>A9</f>
        <v>173</v>
      </c>
    </row>
    <row r="10" ht="12.75" customHeight="1">
      <c r="A10" t="s" s="25">
        <v>174</v>
      </c>
      <c r="B10" t="s" s="19">
        <v>175</v>
      </c>
      <c r="C10" t="s" s="19">
        <v>176</v>
      </c>
      <c r="D10" t="s" s="19">
        <v>175</v>
      </c>
      <c r="E10" t="s" s="19">
        <v>177</v>
      </c>
      <c r="F10" s="3"/>
      <c r="G10" t="s" s="19">
        <v>178</v>
      </c>
      <c r="H10" s="32"/>
      <c r="I10" s="32"/>
      <c r="J10" t="s" s="24">
        <v>154</v>
      </c>
      <c r="K10" s="36"/>
      <c r="L10" s="36"/>
      <c r="M10" s="11">
        <v>7</v>
      </c>
      <c r="N10" s="5">
        <v>6.95</v>
      </c>
      <c r="O10" s="11"/>
      <c r="P10" s="11">
        <v>0.4</v>
      </c>
      <c r="Q10" s="37"/>
      <c r="R10" s="36"/>
      <c r="S10" s="36"/>
      <c r="T10" s="38">
        <f>IF(S10&gt;0,1.048,IF(R10&gt;0,1.048,IF(Q10&gt;0,1.036,0.907+1.55*(P10/N10)-4.449*(P10/N10)^2)))</f>
        <v>0.9814715076859376</v>
      </c>
      <c r="U10" s="39">
        <v>500</v>
      </c>
      <c r="V10" s="40">
        <f>IF(H10="x",75+U10,IF(M10&lt;6.66,150+U10,-1.7384*M10^2+92.38*M10-388+U10))</f>
        <v>673.4784</v>
      </c>
      <c r="W10" s="5"/>
      <c r="X10" s="5"/>
      <c r="Y10" s="5"/>
      <c r="Z10" s="5"/>
      <c r="AA10" s="5"/>
      <c r="AB10" s="5"/>
      <c r="AC10" s="5"/>
      <c r="AD10" s="33">
        <v>21.32</v>
      </c>
      <c r="AE10" s="5">
        <f>IF(AD10=0,(W10+4*X10+2*Y10+4*Z10+AA10)*AC10/12+W10*AB10/1.5,AD10)</f>
        <v>21.32</v>
      </c>
      <c r="AF10" s="11"/>
      <c r="AG10" s="11"/>
      <c r="AH10" s="5">
        <f>IF(AC10=0,AE10+AF10*AG10/2,AE10+AC10*AG10/2)</f>
        <v>21.32</v>
      </c>
      <c r="AI10" s="3"/>
      <c r="AJ10" s="3"/>
      <c r="AK10" s="33">
        <v>6</v>
      </c>
      <c r="AL10" s="5">
        <f>IF(AK10=0,AI10*AJ10/2,AK10)</f>
        <v>6</v>
      </c>
      <c r="AM10" s="3"/>
      <c r="AN10" s="5"/>
      <c r="AO10" s="5"/>
      <c r="AP10" s="5">
        <f>AL10+AI10*(AN10-AO10)/2</f>
        <v>6</v>
      </c>
      <c r="AQ10" s="5">
        <f>0.1*(AE10+AL10)</f>
        <v>2.732</v>
      </c>
      <c r="AR10" s="11">
        <v>9</v>
      </c>
      <c r="AS10" s="11"/>
      <c r="AT10" s="11"/>
      <c r="AU10" s="11"/>
      <c r="AV10" s="33"/>
      <c r="AW10" s="5">
        <f>IF(AV10=0,AS10/6*(AT10+AU10*4),AV10)</f>
        <v>0</v>
      </c>
      <c r="AX10" s="11">
        <v>1.5</v>
      </c>
      <c r="AY10" s="5">
        <f>IF(AX10&lt;0.149*M10+0.329,1,AX10/(0.149*M10+0.329))</f>
        <v>1.093294460641399</v>
      </c>
      <c r="AZ10" s="5">
        <f>IF(AW10*AY10&gt;AL10,(AW10*AY10-AL10)/4,0)</f>
        <v>0</v>
      </c>
      <c r="BA10" s="12">
        <f>0.401+0.1831*(2*AR10^2/(AH10+AP10+AZ10))-0.02016*(2*AR10^2/(AH10+AP10+AZ10))^2+0.0007472*(2*AR10^2/(AH10+AP10+AZ10))^3</f>
        <v>0.9336642798125482</v>
      </c>
      <c r="BB10" s="3"/>
      <c r="BC10" s="3"/>
      <c r="BD10" s="3"/>
      <c r="BE10" s="3"/>
      <c r="BF10" s="33">
        <v>25</v>
      </c>
      <c r="BG10" s="5">
        <f>IF(BF10=0,(BC10+BD10)*(BB10/12+BE10/3),BF10)</f>
        <v>25</v>
      </c>
      <c r="BH10" s="5">
        <f>IF(BG10*AY10&gt;AL10+AZ10,BG10*AY10-AL10-AZ10,0)</f>
        <v>21.33236151603499</v>
      </c>
      <c r="BI10" s="5">
        <f>IF(M10/1.6&lt;8,ROUND(M10/1.6,0),8)</f>
        <v>4</v>
      </c>
      <c r="BJ10" s="5">
        <f>(AH10+AP10+AZ10)*BA10+0.1*BH10</f>
        <v>27.64094427608232</v>
      </c>
      <c r="BK10" s="11">
        <v>1</v>
      </c>
      <c r="BL10" s="5">
        <f>M10*0.2</f>
        <v>1.4</v>
      </c>
      <c r="BM10" s="5">
        <f>ROUNDDOWN(M10/2.13,0)</f>
        <v>3</v>
      </c>
      <c r="BN10" s="12">
        <f>M10/4.26</f>
        <v>1.643192488262911</v>
      </c>
      <c r="BO10" s="5">
        <f>IF(M10&lt;8,1.22,IF(M10&lt;15.2,0.108333*M10+0.353,2))</f>
        <v>1.22</v>
      </c>
      <c r="BP10" s="12">
        <f>IF(BK10&lt;BO10,1+0.3*(BO10-BK10)/M10,1)</f>
        <v>1.009428571428571</v>
      </c>
      <c r="BQ10" s="32"/>
      <c r="BR10" s="39">
        <v>0</v>
      </c>
      <c r="BS10" t="s" s="24">
        <v>154</v>
      </c>
      <c r="BT10" s="36"/>
      <c r="BU10" s="36"/>
      <c r="BV10" s="5">
        <f>IF(BQ10&lt;(M10/0.3048)^0.5,1,IF(BU10="x",1-BR10*0.02,IF(BT10="x",1-BR10*0.01,1)))</f>
        <v>1</v>
      </c>
      <c r="BW10" s="12">
        <f>IF(K10="x",MIN(1.315,1.28+U10*N10/BJ10/AR10/1100),IF(L10="x",1.28,MAX(1.245,1.28-U10*N10/BJ10/AR10/1100)))</f>
        <v>1.267301081413712</v>
      </c>
      <c r="BX10" s="41">
        <f>BW10*T10*BV10*BP10*N10^0.3*BJ10^0.4/V10^0.325</f>
        <v>1.020573984063642</v>
      </c>
      <c r="BY10" s="29"/>
      <c r="BZ10" s="29"/>
      <c r="CA10" t="s" s="19">
        <v>162</v>
      </c>
      <c r="CB10" t="s" s="19">
        <v>179</v>
      </c>
      <c r="CC10" t="s" s="19">
        <v>180</v>
      </c>
      <c r="CD10" s="3"/>
      <c r="CE10" s="3"/>
      <c r="CF10" s="3"/>
      <c r="CG10" t="s" s="30">
        <f>A10</f>
        <v>181</v>
      </c>
    </row>
    <row r="11" ht="12.75" customHeight="1">
      <c r="A11" t="s" s="25">
        <v>182</v>
      </c>
      <c r="B11" t="s" s="19">
        <v>183</v>
      </c>
      <c r="C11" t="s" s="19">
        <v>184</v>
      </c>
      <c r="D11" t="s" s="19">
        <v>185</v>
      </c>
      <c r="E11" t="s" s="19">
        <v>186</v>
      </c>
      <c r="F11" t="s" s="19">
        <v>187</v>
      </c>
      <c r="G11" s="3"/>
      <c r="H11" s="32"/>
      <c r="I11" s="32"/>
      <c r="J11" t="s" s="24">
        <v>154</v>
      </c>
      <c r="K11" s="36"/>
      <c r="L11" s="36"/>
      <c r="M11" s="11">
        <v>12.2</v>
      </c>
      <c r="N11" s="5">
        <v>11.46</v>
      </c>
      <c r="O11" s="11">
        <v>7.7</v>
      </c>
      <c r="P11" s="11"/>
      <c r="Q11" s="37"/>
      <c r="R11" s="43">
        <v>2.22</v>
      </c>
      <c r="S11" s="36"/>
      <c r="T11" s="38">
        <f>IF(S11&gt;0,1.048,IF(R11&gt;0,1.048,IF(Q11&gt;0,1.036,0.907+1.55*(P11/N11)-4.449*(P11/N11)^2)))</f>
        <v>1.048</v>
      </c>
      <c r="U11" s="39">
        <v>2500</v>
      </c>
      <c r="V11" s="40">
        <f>IF(H11="x",75+U11,IF(M11&lt;6.66,150+U11,-1.7384*M11^2+92.38*M11-388+U11))</f>
        <v>2980.292544</v>
      </c>
      <c r="W11" s="5"/>
      <c r="X11" s="5"/>
      <c r="Y11" s="5"/>
      <c r="Z11" s="5"/>
      <c r="AA11" s="5"/>
      <c r="AB11" s="5"/>
      <c r="AC11" s="5">
        <v>16.3</v>
      </c>
      <c r="AD11" s="33">
        <v>70</v>
      </c>
      <c r="AE11" s="5">
        <f>IF(AD11=0,(W11+4*X11+2*Y11+4*Z11+AA11)*AC11/12+W11*AB11/1.5,AD11)</f>
        <v>70</v>
      </c>
      <c r="AF11" s="11">
        <v>17.8</v>
      </c>
      <c r="AG11" s="11">
        <v>0.65</v>
      </c>
      <c r="AH11" s="5">
        <f>IF(AC11=0,AE11+AF11*AG11/2,AE11+AC11*AG11/2)</f>
        <v>75.2975</v>
      </c>
      <c r="AI11" s="5">
        <v>9</v>
      </c>
      <c r="AJ11" s="3"/>
      <c r="AK11" s="33">
        <v>11</v>
      </c>
      <c r="AL11" s="5">
        <f>IF(AK11=0,AI11*AJ11/2,AK11)</f>
        <v>11</v>
      </c>
      <c r="AM11" t="s" s="19">
        <v>154</v>
      </c>
      <c r="AN11" s="5"/>
      <c r="AO11" s="5"/>
      <c r="AP11" s="5">
        <f>AL11+AI11*(AN11-AO11)/2</f>
        <v>11</v>
      </c>
      <c r="AQ11" s="5">
        <f>0.1*(AE11+AL11)</f>
        <v>8.1</v>
      </c>
      <c r="AR11" s="11">
        <v>17.4</v>
      </c>
      <c r="AS11" s="11"/>
      <c r="AT11" s="11"/>
      <c r="AU11" s="11"/>
      <c r="AV11" s="33">
        <v>55</v>
      </c>
      <c r="AW11" s="5">
        <f>IF(AV11=0,AS11/6*(AT11+AU11*4),AV11)</f>
        <v>55</v>
      </c>
      <c r="AX11" s="11">
        <v>0.3</v>
      </c>
      <c r="AY11" s="5">
        <f>IF(AX11&lt;0.149*M11+0.329,1,AX11/(0.149*M11+0.329))</f>
        <v>1</v>
      </c>
      <c r="AZ11" s="5">
        <f>IF(AW11*AY11&gt;AL11,(AW11*AY11-AL11)/4,0)</f>
        <v>11</v>
      </c>
      <c r="BA11" s="12">
        <f>0.401+0.1831*(2*AR11^2/(AH11+AP11+AZ11))-0.02016*(2*AR11^2/(AH11+AP11+AZ11))^2+0.0007472*(2*AR11^2/(AH11+AP11+AZ11))^3</f>
        <v>0.9397958407126685</v>
      </c>
      <c r="BB11" s="3"/>
      <c r="BC11" s="3"/>
      <c r="BD11" s="3"/>
      <c r="BE11" s="3"/>
      <c r="BF11" s="33"/>
      <c r="BG11" s="5">
        <f>IF(BF11=0,(BC11+BD11)*(BB11/12+BE11/3),BF11)</f>
        <v>0</v>
      </c>
      <c r="BH11" s="5">
        <f>IF(BG11*AY11&gt;AL11+AZ11,BG11*AY11-AL11-AZ11,0)</f>
        <v>0</v>
      </c>
      <c r="BI11" s="5">
        <f>IF(M11/1.6&lt;8,ROUND(M11/1.6,0),8)</f>
        <v>8</v>
      </c>
      <c r="BJ11" s="5">
        <f>(AH11+AP11+AZ11)*BA11+0.1*BH11</f>
        <v>91.43978581174086</v>
      </c>
      <c r="BK11" s="11">
        <v>1.5</v>
      </c>
      <c r="BL11" s="5">
        <f>M11*0.2</f>
        <v>2.44</v>
      </c>
      <c r="BM11" s="5">
        <f>ROUNDDOWN(M11/2.13,0)</f>
        <v>5</v>
      </c>
      <c r="BN11" s="12">
        <f>M11/4.26</f>
        <v>2.863849765258216</v>
      </c>
      <c r="BO11" s="5">
        <f>IF(M11&lt;8,1.22,IF(M11&lt;15.2,0.108333*M11+0.353,2))</f>
        <v>1.6746626</v>
      </c>
      <c r="BP11" s="12">
        <f>IF(BK11&lt;BO11,1+0.3*(BO11-BK11)/M11,1)</f>
        <v>1.004294981967213</v>
      </c>
      <c r="BQ11" s="39">
        <v>6</v>
      </c>
      <c r="BR11" s="32"/>
      <c r="BS11" t="s" s="24">
        <v>154</v>
      </c>
      <c r="BT11" s="36"/>
      <c r="BU11" s="36"/>
      <c r="BV11" s="5">
        <f>IF(BQ11&lt;(M11/0.3048)^0.5,1,IF(BU11="x",1-BR11*0.02,IF(BT11="x",1-BR11*0.01,1)))</f>
        <v>1</v>
      </c>
      <c r="BW11" s="12">
        <f>IF(K11="x",MIN(1.315,1.28+U11*N11/BJ11/AR11/1100),IF(L11="x",1.28,MAX(1.245,1.28-U11*N11/BJ11/AR11/1100)))</f>
        <v>1.263630044728631</v>
      </c>
      <c r="BX11" s="41">
        <f>BW11*T11*BV11*BP11*N11^0.3*BJ11^0.4/V11^0.325</f>
        <v>1.250022536050839</v>
      </c>
      <c r="BY11" s="29"/>
      <c r="BZ11" s="29"/>
      <c r="CA11" t="s" s="19">
        <v>188</v>
      </c>
      <c r="CB11" t="s" s="19">
        <v>189</v>
      </c>
      <c r="CC11" s="3"/>
      <c r="CD11" s="3"/>
      <c r="CE11" s="3"/>
      <c r="CF11" s="3"/>
      <c r="CG11" t="s" s="30">
        <f>A11</f>
        <v>190</v>
      </c>
    </row>
    <row r="12" ht="12.75" customHeight="1">
      <c r="A12" t="s" s="25">
        <v>191</v>
      </c>
      <c r="B12" t="s" s="19">
        <v>192</v>
      </c>
      <c r="C12" t="s" s="19">
        <v>193</v>
      </c>
      <c r="D12" t="s" s="19">
        <v>193</v>
      </c>
      <c r="E12" t="s" s="19">
        <v>194</v>
      </c>
      <c r="F12" t="s" s="19">
        <v>195</v>
      </c>
      <c r="G12" t="s" s="19">
        <v>196</v>
      </c>
      <c r="H12" s="32"/>
      <c r="I12" s="32"/>
      <c r="J12" s="36"/>
      <c r="K12" t="s" s="24">
        <v>154</v>
      </c>
      <c r="L12" s="36"/>
      <c r="M12" s="11">
        <v>9.199999999999999</v>
      </c>
      <c r="N12" s="5">
        <v>9.01</v>
      </c>
      <c r="O12" s="11">
        <v>7.8</v>
      </c>
      <c r="P12" s="11"/>
      <c r="Q12" s="37"/>
      <c r="R12" t="s" s="24">
        <v>197</v>
      </c>
      <c r="S12" s="36"/>
      <c r="T12" s="38">
        <f>IF(S12&gt;0,1.048,IF(R12&gt;0,1.048,IF(Q12&gt;0,1.036,0.907+1.55*(P12/N12)-4.449*(P12/N12)^2)))</f>
        <v>1.048</v>
      </c>
      <c r="U12" s="39">
        <v>2450</v>
      </c>
      <c r="V12" s="40">
        <f>IF(H12="x",75+U12,IF(M12&lt;6.66,150+U12,-1.7384*M12^2+92.38*M12-388+U12))</f>
        <v>2764.757824</v>
      </c>
      <c r="W12" s="5">
        <v>3.96</v>
      </c>
      <c r="X12" s="5">
        <v>3.88</v>
      </c>
      <c r="Y12" s="5">
        <v>3.64</v>
      </c>
      <c r="Z12" s="5">
        <v>3.01</v>
      </c>
      <c r="AA12" s="5">
        <v>0.31</v>
      </c>
      <c r="AB12" s="5"/>
      <c r="AC12" s="5">
        <v>13.28</v>
      </c>
      <c r="AD12" s="33"/>
      <c r="AE12" s="5">
        <f>IF(AD12=0,(W12+4*X12+2*Y12+4*Z12+AA12)*AC12/12+W12*AB12/1.5,AD12)</f>
        <v>43.28173333333334</v>
      </c>
      <c r="AF12" s="11">
        <v>14.6</v>
      </c>
      <c r="AG12" s="11"/>
      <c r="AH12" s="5">
        <f>IF(AC12=0,AE12+AF12*AG12/2,AE12+AC12*AG12/2)</f>
        <v>43.28173333333334</v>
      </c>
      <c r="AI12" s="5">
        <v>12.8</v>
      </c>
      <c r="AJ12" s="5">
        <v>4.06</v>
      </c>
      <c r="AK12" s="33"/>
      <c r="AL12" s="5">
        <f>IF(AK12=0,AI12*AJ12/2,AK12)</f>
        <v>25.984</v>
      </c>
      <c r="AM12" s="3"/>
      <c r="AN12" s="5"/>
      <c r="AO12" s="5">
        <v>0.18</v>
      </c>
      <c r="AP12" s="5">
        <f>AL12+AI12*(AN12-AO12)/2</f>
        <v>24.832</v>
      </c>
      <c r="AQ12" s="5">
        <f>0.1*(AE12+AL12)</f>
        <v>6.926573333333334</v>
      </c>
      <c r="AR12" s="11">
        <v>14.9</v>
      </c>
      <c r="AS12" s="11"/>
      <c r="AT12" s="11"/>
      <c r="AU12" s="11"/>
      <c r="AV12" s="33"/>
      <c r="AW12" s="5">
        <f>IF(AV12=0,AS12/6*(AT12+AU12*4),AV12)</f>
        <v>0</v>
      </c>
      <c r="AX12" s="11">
        <v>1.75</v>
      </c>
      <c r="AY12" s="5">
        <f>IF(AX12&lt;0.149*M12+0.329,1,AX12/(0.149*M12+0.329))</f>
        <v>1.029532886221909</v>
      </c>
      <c r="AZ12" s="5">
        <f>IF(AW12*AY12&gt;AL12,(AW12*AY12-AL12)/4,0)</f>
        <v>0</v>
      </c>
      <c r="BA12" s="12">
        <f>0.401+0.1831*(2*AR12^2/(AH12+AP12+AZ12))-0.02016*(2*AR12^2/(AH12+AP12+AZ12))^2+0.0007472*(2*AR12^2/(AH12+AP12+AZ12))^3</f>
        <v>0.9448835527165262</v>
      </c>
      <c r="BB12" s="3"/>
      <c r="BC12" s="3"/>
      <c r="BD12" s="3"/>
      <c r="BE12" s="3"/>
      <c r="BF12" s="33">
        <v>70</v>
      </c>
      <c r="BG12" s="5">
        <f>IF(BF12=0,(BC12+BD12)*(BB12/12+BE12/3),BF12)</f>
        <v>70</v>
      </c>
      <c r="BH12" s="5">
        <f>IF(BG12*AY12&gt;AL12+AZ12,BG12*AY12-AL12-AZ12,0)</f>
        <v>46.08330203553361</v>
      </c>
      <c r="BI12" s="5">
        <f>IF(M12/1.6&lt;8,ROUND(M12/1.6,0),8)</f>
        <v>6</v>
      </c>
      <c r="BJ12" s="5">
        <f>(AH12+AP12+AZ12)*BA12+0.1*BH12</f>
        <v>68.96787654433943</v>
      </c>
      <c r="BK12" s="11">
        <v>1.8</v>
      </c>
      <c r="BL12" s="5">
        <f>M12*0.2</f>
        <v>1.84</v>
      </c>
      <c r="BM12" s="5">
        <f>ROUNDDOWN(M12/2.13,0)</f>
        <v>4</v>
      </c>
      <c r="BN12" s="12">
        <f>M12/4.26</f>
        <v>2.15962441314554</v>
      </c>
      <c r="BO12" s="5">
        <f>IF(M12&lt;8,1.22,IF(M12&lt;15.2,0.108333*M12+0.353,2))</f>
        <v>1.3496636</v>
      </c>
      <c r="BP12" s="12">
        <f>IF(BK12&lt;BO12,1+0.3*(BO12-BK12)/M12,1)</f>
        <v>1</v>
      </c>
      <c r="BQ12" s="39">
        <v>7</v>
      </c>
      <c r="BR12" s="39">
        <v>1</v>
      </c>
      <c r="BS12" t="s" s="24">
        <v>154</v>
      </c>
      <c r="BT12" s="36"/>
      <c r="BU12" s="36"/>
      <c r="BV12" s="5">
        <f>IF(BQ12&lt;(M12/0.3048)^0.5,1,IF(BU12="x",1-BR12*0.02,IF(BT12="x",1-BR12*0.01,1)))</f>
        <v>1</v>
      </c>
      <c r="BW12" s="12">
        <f>IF(K12="x",MIN(1.315,1.28+U12*N12/BJ12/AR12/1100),IF(L12="x",1.28,MAX(1.245,1.28-U12*N12/BJ12/AR12/1100)))</f>
        <v>1.299528328277212</v>
      </c>
      <c r="BX12" s="41">
        <f>BW12*T12*BV12*BP12*N12^0.3*BJ12^0.4/V12^0.325</f>
        <v>1.09014597784589</v>
      </c>
      <c r="BY12" s="29"/>
      <c r="BZ12" s="29"/>
      <c r="CA12" t="s" s="19">
        <v>188</v>
      </c>
      <c r="CB12" t="s" s="19">
        <v>198</v>
      </c>
      <c r="CC12" t="s" s="19">
        <v>199</v>
      </c>
      <c r="CD12" s="3"/>
      <c r="CE12" s="3"/>
      <c r="CF12" s="3"/>
      <c r="CG12" t="s" s="30">
        <f>A12</f>
        <v>200</v>
      </c>
    </row>
    <row r="13" ht="12.75" customHeight="1">
      <c r="A13" t="s" s="25">
        <v>201</v>
      </c>
      <c r="B13" t="s" s="19">
        <v>202</v>
      </c>
      <c r="C13" t="s" s="19">
        <v>203</v>
      </c>
      <c r="D13" t="s" s="19">
        <v>204</v>
      </c>
      <c r="E13" t="s" s="19">
        <v>205</v>
      </c>
      <c r="F13" s="3"/>
      <c r="G13" s="3"/>
      <c r="H13" s="32"/>
      <c r="I13" s="32"/>
      <c r="J13" t="s" s="24">
        <v>154</v>
      </c>
      <c r="K13" s="36"/>
      <c r="L13" s="36"/>
      <c r="M13" s="11">
        <v>10.65</v>
      </c>
      <c r="N13" s="5">
        <v>10.65</v>
      </c>
      <c r="O13" s="11">
        <v>6.03</v>
      </c>
      <c r="P13" s="11">
        <v>0.85</v>
      </c>
      <c r="Q13" s="37"/>
      <c r="R13" s="36"/>
      <c r="S13" s="36"/>
      <c r="T13" s="38">
        <f>IF(S13&gt;0,1.048,IF(R13&gt;0,1.048,IF(Q13&gt;0,1.036,0.907+1.55*(P13/N13)-4.449*(P13/N13)^2)))</f>
        <v>1.002368842160947</v>
      </c>
      <c r="U13" s="39">
        <v>4000</v>
      </c>
      <c r="V13" s="40">
        <f>IF(H13="x",75+U13,IF(M13&lt;6.66,150+U13,-1.7384*M13^2+92.38*M13-388+U13))</f>
        <v>4398.673326</v>
      </c>
      <c r="W13" s="5"/>
      <c r="X13" s="5"/>
      <c r="Y13" s="5"/>
      <c r="Z13" s="5"/>
      <c r="AA13" s="5"/>
      <c r="AB13" s="5"/>
      <c r="AC13" s="5">
        <v>11</v>
      </c>
      <c r="AD13" s="33">
        <v>44</v>
      </c>
      <c r="AE13" s="5">
        <f>IF(AD13=0,(W13+4*X13+2*Y13+4*Z13+AA13)*AC13/12+W13*AB13/1.5,AD13)</f>
        <v>44</v>
      </c>
      <c r="AF13" s="11"/>
      <c r="AG13" s="11"/>
      <c r="AH13" s="5">
        <f>IF(AC13=0,AE13+AF13*AG13/2,AE13+AC13*AG13/2)</f>
        <v>44</v>
      </c>
      <c r="AI13" s="3"/>
      <c r="AJ13" s="3"/>
      <c r="AK13" s="33">
        <v>25</v>
      </c>
      <c r="AL13" s="5">
        <f>IF(AK13=0,AI13*AJ13/2,AK13)</f>
        <v>25</v>
      </c>
      <c r="AM13" s="3"/>
      <c r="AN13" s="5"/>
      <c r="AO13" s="5"/>
      <c r="AP13" s="5">
        <f>AL13+AI13*(AN13-AO13)/2</f>
        <v>25</v>
      </c>
      <c r="AQ13" s="5">
        <f>0.1*(AE13+AL13)</f>
        <v>6.9</v>
      </c>
      <c r="AR13" s="11">
        <v>13.5</v>
      </c>
      <c r="AS13" s="11"/>
      <c r="AT13" s="11"/>
      <c r="AU13" s="11"/>
      <c r="AV13" s="33"/>
      <c r="AW13" s="5">
        <f>IF(AV13=0,AS13/6*(AT13+AU13*4),AV13)</f>
        <v>0</v>
      </c>
      <c r="AX13" s="11">
        <v>0</v>
      </c>
      <c r="AY13" s="5">
        <f>IF(AX13&lt;0.149*M13+0.329,1,AX13/(0.149*M13+0.329))</f>
        <v>1</v>
      </c>
      <c r="AZ13" s="5">
        <f>IF(AW13*AY13&gt;AL13,(AW13*AY13-AL13)/4,0)</f>
        <v>0</v>
      </c>
      <c r="BA13" s="12">
        <f>0.401+0.1831*(2*AR13^2/(AH13+AP13+AZ13))-0.02016*(2*AR13^2/(AH13+AP13+AZ13))^2+0.0007472*(2*AR13^2/(AH13+AP13+AZ13))^3</f>
        <v>0.9158110202843758</v>
      </c>
      <c r="BB13" s="3"/>
      <c r="BC13" s="3"/>
      <c r="BD13" s="3"/>
      <c r="BE13" s="3"/>
      <c r="BF13" s="33">
        <v>0</v>
      </c>
      <c r="BG13" s="5">
        <f>IF(BF13=0,(BC13+BD13)*(BB13/12+BE13/3),BF13)</f>
        <v>0</v>
      </c>
      <c r="BH13" s="5">
        <f>IF(BG13*AY13&gt;AL13+AZ13,BG13*AY13-AL13-AZ13,0)</f>
        <v>0</v>
      </c>
      <c r="BI13" s="5">
        <f>IF(M13/1.6&lt;8,ROUND(M13/1.6,0),8)</f>
        <v>7</v>
      </c>
      <c r="BJ13" s="5">
        <f>(AH13+AP13+AZ13)*BA13+0.1*BH13</f>
        <v>63.19096039962193</v>
      </c>
      <c r="BK13" s="11">
        <v>1.8</v>
      </c>
      <c r="BL13" s="5">
        <f>M13*0.2</f>
        <v>2.13</v>
      </c>
      <c r="BM13" s="5">
        <f>ROUNDDOWN(M13/2.13,0)</f>
        <v>5</v>
      </c>
      <c r="BN13" s="12">
        <f>M13/4.26</f>
        <v>2.5</v>
      </c>
      <c r="BO13" s="5">
        <f>IF(M13&lt;8,1.22,IF(M13&lt;15.2,0.108333*M13+0.353,2))</f>
        <v>1.50674645</v>
      </c>
      <c r="BP13" s="12">
        <f>IF(BK13&lt;BO13,1+0.3*(BO13-BK13)/M13,1)</f>
        <v>1</v>
      </c>
      <c r="BQ13" s="32"/>
      <c r="BR13" s="39">
        <v>0</v>
      </c>
      <c r="BS13" t="s" s="24">
        <v>154</v>
      </c>
      <c r="BT13" s="36"/>
      <c r="BU13" s="36"/>
      <c r="BV13" s="5">
        <f>IF(BQ13&lt;(M13/0.3048)^0.5,1,IF(BU13="x",1-BR13*0.02,IF(BT13="x",1-BR13*0.01,1)))</f>
        <v>1</v>
      </c>
      <c r="BW13" s="12">
        <f>IF(K13="x",MIN(1.315,1.28+U13*N13/BJ13/AR13/1100),IF(L13="x",1.28,MAX(1.245,1.28-U13*N13/BJ13/AR13/1100)))</f>
        <v>1.245</v>
      </c>
      <c r="BX13" s="41">
        <f>BW13*T13*BV13*BP13*N13^0.3*BJ13^0.4/V13^0.325</f>
        <v>0.8721360107736252</v>
      </c>
      <c r="BY13" s="29"/>
      <c r="BZ13" s="29"/>
      <c r="CA13" t="s" s="19">
        <v>162</v>
      </c>
      <c r="CB13" t="s" s="19">
        <v>206</v>
      </c>
      <c r="CC13" t="s" s="19">
        <v>164</v>
      </c>
      <c r="CD13" t="s" s="19">
        <v>207</v>
      </c>
      <c r="CE13" s="3"/>
      <c r="CF13" s="3"/>
      <c r="CG13" t="s" s="30">
        <f>A13</f>
        <v>208</v>
      </c>
    </row>
    <row r="14" ht="12.75" customHeight="1">
      <c r="A14" t="s" s="25">
        <v>209</v>
      </c>
      <c r="B14" t="s" s="19">
        <v>210</v>
      </c>
      <c r="C14" t="s" s="19">
        <v>211</v>
      </c>
      <c r="D14" t="s" s="19">
        <v>212</v>
      </c>
      <c r="E14" t="s" s="19">
        <v>211</v>
      </c>
      <c r="F14" s="3"/>
      <c r="G14" s="3"/>
      <c r="H14" s="32"/>
      <c r="I14" s="32"/>
      <c r="J14" t="s" s="24">
        <v>154</v>
      </c>
      <c r="K14" s="36"/>
      <c r="L14" s="36"/>
      <c r="M14" s="11">
        <v>9</v>
      </c>
      <c r="N14" s="5">
        <v>9</v>
      </c>
      <c r="O14" s="11">
        <v>5.65</v>
      </c>
      <c r="P14" s="11">
        <v>0.75</v>
      </c>
      <c r="Q14" s="37"/>
      <c r="R14" s="36"/>
      <c r="S14" s="36"/>
      <c r="T14" s="38">
        <f>IF(S14&gt;0,1.048,IF(R14&gt;0,1.048,IF(Q14&gt;0,1.036,0.907+1.55*(P14/N14)-4.449*(P14/N14)^2)))</f>
        <v>1.005270833333333</v>
      </c>
      <c r="U14" s="39">
        <v>1650</v>
      </c>
      <c r="V14" s="40">
        <f>IF(H14="x",75+U14,IF(M14&lt;6.66,150+U14,-1.7384*M14^2+92.38*M14-388+U14))</f>
        <v>1952.6096</v>
      </c>
      <c r="W14" s="5"/>
      <c r="X14" s="5"/>
      <c r="Y14" s="5"/>
      <c r="Z14" s="5"/>
      <c r="AA14" s="5"/>
      <c r="AB14" s="5"/>
      <c r="AC14" s="5"/>
      <c r="AD14" s="33">
        <v>34</v>
      </c>
      <c r="AE14" s="5">
        <f>IF(AD14=0,(W14+4*X14+2*Y14+4*Z14+AA14)*AC14/12+W14*AB14/1.5,AD14)</f>
        <v>34</v>
      </c>
      <c r="AF14" s="11">
        <v>12.2</v>
      </c>
      <c r="AG14" s="11"/>
      <c r="AH14" s="5">
        <f>IF(AC14=0,AE14+AF14*AG14/2,AE14+AC14*AG14/2)</f>
        <v>34</v>
      </c>
      <c r="AI14" s="3"/>
      <c r="AJ14" s="3"/>
      <c r="AK14" s="33">
        <v>10.45</v>
      </c>
      <c r="AL14" s="5">
        <f>IF(AK14=0,AI14*AJ14/2,AK14)</f>
        <v>10.45</v>
      </c>
      <c r="AM14" s="3"/>
      <c r="AN14" s="5"/>
      <c r="AO14" s="5"/>
      <c r="AP14" s="5">
        <f>AL14+AI14*(AN14-AO14)/2</f>
        <v>10.45</v>
      </c>
      <c r="AQ14" s="5">
        <f>0.1*(AE14+AL14)</f>
        <v>4.445</v>
      </c>
      <c r="AR14" s="11">
        <v>12.5</v>
      </c>
      <c r="AS14" s="11"/>
      <c r="AT14" s="11"/>
      <c r="AU14" s="11"/>
      <c r="AV14" s="33"/>
      <c r="AW14" s="5">
        <f>IF(AV14=0,AS14/6*(AT14+AU14*4),AV14)</f>
        <v>0</v>
      </c>
      <c r="AX14" s="11">
        <v>0</v>
      </c>
      <c r="AY14" s="5">
        <f>IF(AX14&lt;0.149*M14+0.329,1,AX14/(0.149*M14+0.329))</f>
        <v>1</v>
      </c>
      <c r="AZ14" s="5">
        <f>IF(AW14*AY14&gt;AL14,(AW14*AY14-AL14)/4,0)</f>
        <v>0</v>
      </c>
      <c r="BA14" s="12">
        <f>0.401+0.1831*(2*AR14^2/(AH14+AP14+AZ14))-0.02016*(2*AR14^2/(AH14+AP14+AZ14))^2+0.0007472*(2*AR14^2/(AH14+AP14+AZ14))^3</f>
        <v>0.9514704221513308</v>
      </c>
      <c r="BB14" s="3"/>
      <c r="BC14" s="3"/>
      <c r="BD14" s="3"/>
      <c r="BE14" s="3"/>
      <c r="BF14" s="33">
        <v>0</v>
      </c>
      <c r="BG14" s="5">
        <f>IF(BF14=0,(BC14+BD14)*(BB14/12+BE14/3),BF14)</f>
        <v>0</v>
      </c>
      <c r="BH14" s="5">
        <f>IF(BG14*AY14&gt;AL14+AZ14,BG14*AY14-AL14-AZ14,0)</f>
        <v>0</v>
      </c>
      <c r="BI14" s="5">
        <f>IF(M14/1.6&lt;8,ROUND(M14/1.6,0),8)</f>
        <v>6</v>
      </c>
      <c r="BJ14" s="5">
        <f>(AH14+AP14+AZ14)*BA14+0.1*BH14</f>
        <v>42.29286026462666</v>
      </c>
      <c r="BK14" s="11">
        <v>1.8</v>
      </c>
      <c r="BL14" s="5">
        <f>M14*0.2</f>
        <v>1.8</v>
      </c>
      <c r="BM14" s="5">
        <f>ROUNDDOWN(M14/2.13,0)</f>
        <v>4</v>
      </c>
      <c r="BN14" s="12">
        <f>M14/4.26</f>
        <v>2.112676056338028</v>
      </c>
      <c r="BO14" s="5">
        <f>IF(M14&lt;8,1.22,IF(M14&lt;15.2,0.108333*M14+0.353,2))</f>
        <v>1.327997</v>
      </c>
      <c r="BP14" s="12">
        <f>IF(BK14&lt;BO14,1+0.3*(BO14-BK14)/M14,1)</f>
        <v>1</v>
      </c>
      <c r="BQ14" s="39">
        <v>7.5</v>
      </c>
      <c r="BR14" s="39">
        <v>0</v>
      </c>
      <c r="BS14" t="s" s="24">
        <v>154</v>
      </c>
      <c r="BT14" s="36"/>
      <c r="BU14" s="36"/>
      <c r="BV14" s="5">
        <f>IF(BQ14&lt;(M14/0.3048)^0.5,1,IF(BU14="x",1-BR14*0.02,IF(BT14="x",1-BR14*0.01,1)))</f>
        <v>1</v>
      </c>
      <c r="BW14" s="12">
        <f>IF(K14="x",MIN(1.315,1.28+U14*N14/BJ14/AR14/1100),IF(L14="x",1.28,MAX(1.245,1.28-U14*N14/BJ14/AR14/1100)))</f>
        <v>1.254463774896225</v>
      </c>
      <c r="BX14" s="41">
        <f>BW14*T14*BV14*BP14*N14^0.3*BJ14^0.4/V14^0.325</f>
        <v>0.9291177804457091</v>
      </c>
      <c r="BY14" s="29"/>
      <c r="BZ14" s="29"/>
      <c r="CA14" t="s" s="19">
        <v>213</v>
      </c>
      <c r="CB14" t="s" s="19">
        <v>214</v>
      </c>
      <c r="CC14" t="s" s="19">
        <v>164</v>
      </c>
      <c r="CD14" s="3"/>
      <c r="CE14" s="3"/>
      <c r="CF14" s="3"/>
      <c r="CG14" t="s" s="30">
        <f>A14</f>
        <v>215</v>
      </c>
    </row>
    <row r="15" ht="12.75" customHeight="1">
      <c r="A15" t="s" s="25">
        <v>216</v>
      </c>
      <c r="B15" t="s" s="19">
        <v>217</v>
      </c>
      <c r="C15" t="s" s="19">
        <v>218</v>
      </c>
      <c r="D15" t="s" s="19">
        <v>219</v>
      </c>
      <c r="E15" t="s" s="19">
        <v>220</v>
      </c>
      <c r="F15" s="3"/>
      <c r="G15" s="3"/>
      <c r="H15" s="32"/>
      <c r="I15" s="32"/>
      <c r="J15" t="s" s="24">
        <v>154</v>
      </c>
      <c r="K15" s="36"/>
      <c r="L15" s="36"/>
      <c r="M15" s="11">
        <v>14.3</v>
      </c>
      <c r="N15" s="5">
        <v>14.3</v>
      </c>
      <c r="O15" s="11">
        <v>7.5</v>
      </c>
      <c r="P15" s="11"/>
      <c r="Q15" s="37"/>
      <c r="R15" t="s" s="24">
        <v>221</v>
      </c>
      <c r="S15" s="36"/>
      <c r="T15" s="38">
        <f>IF(S15&gt;0,1.048,IF(R15&gt;0,1.048,IF(Q15&gt;0,1.036,0.907+1.55*(P15/N15)-4.449*(P15/N15)^2)))</f>
        <v>1.048</v>
      </c>
      <c r="U15" s="39">
        <v>8900</v>
      </c>
      <c r="V15" s="40">
        <f>IF(H15="x",75+U15,IF(M15&lt;6.66,150+U15,-1.7384*M15^2+92.38*M15-388+U15))</f>
        <v>9477.548584</v>
      </c>
      <c r="W15" s="5"/>
      <c r="X15" s="5"/>
      <c r="Y15" s="5"/>
      <c r="Z15" s="5"/>
      <c r="AA15" s="5"/>
      <c r="AB15" s="5"/>
      <c r="AC15" s="5">
        <v>17.8</v>
      </c>
      <c r="AD15" s="33">
        <v>80</v>
      </c>
      <c r="AE15" s="5">
        <f>IF(AD15=0,(W15+4*X15+2*Y15+4*Z15+AA15)*AC15/12+W15*AB15/1.5,AD15)</f>
        <v>80</v>
      </c>
      <c r="AF15" s="11">
        <v>19.5</v>
      </c>
      <c r="AG15" s="11"/>
      <c r="AH15" s="5">
        <f>IF(AC15=0,AE15+AF15*AG15/2,AE15+AC15*AG15/2)</f>
        <v>80</v>
      </c>
      <c r="AI15" s="3"/>
      <c r="AJ15" s="3"/>
      <c r="AK15" s="33">
        <v>57</v>
      </c>
      <c r="AL15" s="5">
        <f>IF(AK15=0,AI15*AJ15/2,AK15)</f>
        <v>57</v>
      </c>
      <c r="AM15" s="3"/>
      <c r="AN15" s="5"/>
      <c r="AO15" s="5"/>
      <c r="AP15" s="5">
        <f>AL15+AI15*(AN15-AO15)/2</f>
        <v>57</v>
      </c>
      <c r="AQ15" s="5">
        <f>0.1*(AE15+AL15)</f>
        <v>13.7</v>
      </c>
      <c r="AR15" s="11">
        <v>19.5</v>
      </c>
      <c r="AS15" s="11"/>
      <c r="AT15" s="11"/>
      <c r="AU15" s="11"/>
      <c r="AV15" s="33"/>
      <c r="AW15" s="5">
        <f>IF(AV15=0,AS15/6*(AT15+AU15*4),AV15)</f>
        <v>0</v>
      </c>
      <c r="AX15" s="11">
        <v>0</v>
      </c>
      <c r="AY15" s="5">
        <f>IF(AX15&lt;0.149*M15+0.329,1,AX15/(0.149*M15+0.329))</f>
        <v>1</v>
      </c>
      <c r="AZ15" s="5">
        <f>IF(AW15*AY15&gt;AL15,(AW15*AY15-AL15)/4,0)</f>
        <v>0</v>
      </c>
      <c r="BA15" s="12">
        <f>0.401+0.1831*(2*AR15^2/(AH15+AP15+AZ15))-0.02016*(2*AR15^2/(AH15+AP15+AZ15))^2+0.0007472*(2*AR15^2/(AH15+AP15+AZ15))^3</f>
        <v>0.9239943891590926</v>
      </c>
      <c r="BB15" s="3"/>
      <c r="BC15" s="3"/>
      <c r="BD15" s="3"/>
      <c r="BE15" s="3"/>
      <c r="BF15" s="33">
        <v>150</v>
      </c>
      <c r="BG15" s="5">
        <f>IF(BF15=0,(BC15+BD15)*(BB15/12+BE15/3),BF15)</f>
        <v>150</v>
      </c>
      <c r="BH15" s="5">
        <f>IF(BG15*AY15&gt;AL15+AZ15,BG15*AY15-AL15-AZ15,0)</f>
        <v>93</v>
      </c>
      <c r="BI15" s="42">
        <f>IF(M15/1.6&lt;8,ROUND(M15/1.6,0),8)</f>
        <v>8</v>
      </c>
      <c r="BJ15" s="5">
        <f>(AH15+AP15+AZ15)*BA15+0.1*BH15</f>
        <v>135.8872313147957</v>
      </c>
      <c r="BK15" s="11">
        <v>1.95</v>
      </c>
      <c r="BL15" s="5">
        <f>M15*0.2</f>
        <v>2.86</v>
      </c>
      <c r="BM15" s="5">
        <f>ROUNDDOWN(M15/2.13,0)</f>
        <v>6</v>
      </c>
      <c r="BN15" s="12">
        <f>M15/4.26</f>
        <v>3.356807511737089</v>
      </c>
      <c r="BO15" s="5">
        <f>IF(M15&lt;8,1.22,IF(M15&lt;15.2,0.108333*M15+0.353,2))</f>
        <v>1.9021619</v>
      </c>
      <c r="BP15" s="12">
        <f>IF(BK15&lt;BO15,1+0.3*(BO15-BK15)/M15,1)</f>
        <v>1</v>
      </c>
      <c r="BQ15" s="39">
        <v>7</v>
      </c>
      <c r="BR15" s="39">
        <v>2</v>
      </c>
      <c r="BS15" s="36"/>
      <c r="BT15" t="s" s="24">
        <v>154</v>
      </c>
      <c r="BU15" s="36"/>
      <c r="BV15" s="5">
        <f>IF(BQ15&lt;(M15/0.3048)^0.5,1,IF(BU15="x",1-BR15*0.02,IF(BT15="x",1-BR15*0.01,1)))</f>
        <v>0.98</v>
      </c>
      <c r="BW15" s="12">
        <f>IF(K15="x",MIN(1.315,1.28+U15*N15/BJ15/AR15/1100),IF(L15="x",1.28,MAX(1.245,1.28-U15*N15/BJ15/AR15/1100)))</f>
        <v>1.245</v>
      </c>
      <c r="BX15" s="41">
        <f>BW15*T15*BV15*BP15*N15^0.3*BJ15^0.4/V15^0.325</f>
        <v>1.033243720903828</v>
      </c>
      <c r="BY15" s="29"/>
      <c r="BZ15" s="29"/>
      <c r="CA15" t="s" s="19">
        <v>222</v>
      </c>
      <c r="CB15" t="s" s="19">
        <v>223</v>
      </c>
      <c r="CC15" t="s" s="19">
        <v>224</v>
      </c>
      <c r="CD15" s="3"/>
      <c r="CE15" s="3"/>
      <c r="CF15" s="3"/>
      <c r="CG15" t="s" s="30">
        <f>A15</f>
        <v>225</v>
      </c>
    </row>
    <row r="16" ht="12.75" customHeight="1">
      <c r="A16" t="s" s="25">
        <v>226</v>
      </c>
      <c r="B16" t="s" s="19">
        <v>227</v>
      </c>
      <c r="C16" t="s" s="19">
        <v>213</v>
      </c>
      <c r="D16" t="s" s="19">
        <v>228</v>
      </c>
      <c r="E16" t="s" s="19">
        <v>229</v>
      </c>
      <c r="F16" s="3"/>
      <c r="G16" t="s" s="19">
        <v>230</v>
      </c>
      <c r="H16" s="32"/>
      <c r="I16" s="32"/>
      <c r="J16" t="s" s="24">
        <v>154</v>
      </c>
      <c r="K16" s="36"/>
      <c r="L16" s="36"/>
      <c r="M16" s="11">
        <v>11.77</v>
      </c>
      <c r="N16" s="5">
        <v>11.75</v>
      </c>
      <c r="O16" s="11">
        <v>6.4</v>
      </c>
      <c r="P16" s="11">
        <v>0.92</v>
      </c>
      <c r="Q16" s="37"/>
      <c r="R16" s="36"/>
      <c r="S16" s="36"/>
      <c r="T16" s="38">
        <f>IF(S16&gt;0,1.048,IF(R16&gt;0,1.048,IF(Q16&gt;0,1.036,0.907+1.55*(P16/N16)-4.449*(P16/N16)^2)))</f>
        <v>1.001086854866456</v>
      </c>
      <c r="U16" s="39">
        <v>3965</v>
      </c>
      <c r="V16" s="40">
        <f>IF(H16="x",75+U16,IF(M16&lt;6.66,150+U16,-1.7384*M16^2+92.38*M16-388+U16))</f>
        <v>4423.48700664</v>
      </c>
      <c r="W16" s="5"/>
      <c r="X16" s="5"/>
      <c r="Y16" s="5"/>
      <c r="Z16" s="5"/>
      <c r="AA16" s="5"/>
      <c r="AB16" s="5"/>
      <c r="AC16" s="5"/>
      <c r="AD16" s="33">
        <v>56</v>
      </c>
      <c r="AE16" s="5">
        <f>IF(AD16=0,(W16+4*X16+2*Y16+4*Z16+AA16)*AC16/12+W16*AB16/1.5,AD16)</f>
        <v>56</v>
      </c>
      <c r="AF16" s="11">
        <v>15</v>
      </c>
      <c r="AG16" s="11"/>
      <c r="AH16" s="5">
        <f>IF(AC16=0,AE16+AF16*AG16/2,AE16+AC16*AG16/2)</f>
        <v>56</v>
      </c>
      <c r="AI16" s="3"/>
      <c r="AJ16" s="3"/>
      <c r="AK16" s="33">
        <v>33.3</v>
      </c>
      <c r="AL16" s="5">
        <f>IF(AK16=0,AI16*AJ16/2,AK16)</f>
        <v>33.3</v>
      </c>
      <c r="AM16" s="3"/>
      <c r="AN16" s="5"/>
      <c r="AO16" s="5"/>
      <c r="AP16" s="5">
        <f>AL16+AI16*(AN16-AO16)/2</f>
        <v>33.3</v>
      </c>
      <c r="AQ16" s="5">
        <f>0.1*(AE16+AL16)</f>
        <v>8.93</v>
      </c>
      <c r="AR16" s="11">
        <v>15.3</v>
      </c>
      <c r="AS16" s="11"/>
      <c r="AT16" s="11"/>
      <c r="AU16" s="11"/>
      <c r="AV16" s="33"/>
      <c r="AW16" s="5">
        <f>IF(AV16=0,AS16/6*(AT16+AU16*4),AV16)</f>
        <v>0</v>
      </c>
      <c r="AX16" s="11">
        <v>0</v>
      </c>
      <c r="AY16" s="5">
        <f>IF(AX16&lt;0.149*M16+0.329,1,AX16/(0.149*M16+0.329))</f>
        <v>1</v>
      </c>
      <c r="AZ16" s="5">
        <f>IF(AW16*AY16&gt;AL16,(AW16*AY16-AL16)/4,0)</f>
        <v>0</v>
      </c>
      <c r="BA16" s="12">
        <f>0.401+0.1831*(2*AR16^2/(AH16+AP16+AZ16))-0.02016*(2*AR16^2/(AH16+AP16+AZ16))^2+0.0007472*(2*AR16^2/(AH16+AP16+AZ16))^3</f>
        <v>0.9144969088871214</v>
      </c>
      <c r="BB16" s="3"/>
      <c r="BC16" s="3"/>
      <c r="BD16" s="3"/>
      <c r="BE16" s="3"/>
      <c r="BF16" s="33">
        <v>116</v>
      </c>
      <c r="BG16" s="5">
        <f>IF(BF16=0,(BC16+BD16)*(BB16/12+BE16/3),BF16)</f>
        <v>116</v>
      </c>
      <c r="BH16" s="5">
        <f>IF(BG16*AY16&gt;AL16+AZ16,BG16*AY16-AL16-AZ16,0)</f>
        <v>82.7</v>
      </c>
      <c r="BI16" s="5">
        <f>IF(M16/1.6&lt;8,ROUND(M16/1.6,0),8)</f>
        <v>7</v>
      </c>
      <c r="BJ16" s="5">
        <f>(AH16+AP16+AZ16)*BA16+0.1*BH16</f>
        <v>89.93457396361994</v>
      </c>
      <c r="BK16" s="11">
        <v>1.85</v>
      </c>
      <c r="BL16" s="5">
        <f>M16*0.2</f>
        <v>2.354</v>
      </c>
      <c r="BM16" s="5">
        <f>ROUNDDOWN(M16/2.13,0)</f>
        <v>5</v>
      </c>
      <c r="BN16" s="12">
        <f>M16/4.26</f>
        <v>2.762910798122066</v>
      </c>
      <c r="BO16" s="5">
        <f>IF(M16&lt;8,1.22,IF(M16&lt;15.2,0.108333*M16+0.353,2))</f>
        <v>1.62807941</v>
      </c>
      <c r="BP16" s="12">
        <f>IF(BK16&lt;BO16,1+0.3*(BO16-BK16)/M16,1)</f>
        <v>1</v>
      </c>
      <c r="BQ16" s="39">
        <v>6</v>
      </c>
      <c r="BR16" s="39">
        <v>0</v>
      </c>
      <c r="BS16" t="s" s="24">
        <v>154</v>
      </c>
      <c r="BT16" s="36"/>
      <c r="BU16" s="36"/>
      <c r="BV16" s="5">
        <f>IF(BQ16&lt;(M16/0.3048)^0.5,1,IF(BU16="x",1-BR16*0.02,IF(BT16="x",1-BR16*0.01,1)))</f>
        <v>1</v>
      </c>
      <c r="BW16" s="12">
        <f>IF(K16="x",MIN(1.315,1.28+U16*N16/BJ16/AR16/1100),IF(L16="x",1.28,MAX(1.245,1.28-U16*N16/BJ16/AR16/1100)))</f>
        <v>1.249219883404038</v>
      </c>
      <c r="BX16" s="41">
        <f>BW16*T16*BV16*BP16*N16^0.3*BJ16^0.4/V16^0.325</f>
        <v>1.034711161440672</v>
      </c>
      <c r="BY16" s="29"/>
      <c r="BZ16" s="44">
        <v>830</v>
      </c>
      <c r="CA16" t="s" s="19">
        <v>213</v>
      </c>
      <c r="CB16" t="s" s="19">
        <v>231</v>
      </c>
      <c r="CC16" t="s" s="19">
        <v>232</v>
      </c>
      <c r="CD16" s="3"/>
      <c r="CE16" s="3"/>
      <c r="CF16" s="3"/>
      <c r="CG16" t="s" s="30">
        <f>A16</f>
        <v>233</v>
      </c>
    </row>
    <row r="17" ht="12.75" customHeight="1">
      <c r="A17" t="s" s="25">
        <v>234</v>
      </c>
      <c r="B17" t="s" s="19">
        <v>235</v>
      </c>
      <c r="C17" t="s" s="19">
        <v>236</v>
      </c>
      <c r="D17" s="3"/>
      <c r="E17" t="s" s="19">
        <v>237</v>
      </c>
      <c r="F17" s="3"/>
      <c r="G17" s="3"/>
      <c r="H17" s="32"/>
      <c r="I17" s="32"/>
      <c r="J17" t="s" s="24">
        <v>154</v>
      </c>
      <c r="K17" s="36"/>
      <c r="L17" s="36"/>
      <c r="M17" s="11">
        <v>8.5</v>
      </c>
      <c r="N17" s="5">
        <v>8.5</v>
      </c>
      <c r="O17" s="11">
        <v>5.25</v>
      </c>
      <c r="P17" s="11">
        <v>0.7</v>
      </c>
      <c r="Q17" s="37"/>
      <c r="R17" s="36"/>
      <c r="S17" s="36"/>
      <c r="T17" s="38">
        <f>IF(S17&gt;0,1.048,IF(R17&gt;0,1.048,IF(Q17&gt;0,1.036,0.907+1.55*(P17/N17)-4.449*(P17/N17)^2)))</f>
        <v>1.004473910034602</v>
      </c>
      <c r="U17" s="39">
        <v>1500</v>
      </c>
      <c r="V17" s="40">
        <f>IF(H17="x",75+U17,IF(M17&lt;6.66,150+U17,-1.7384*M17^2+92.38*M17-388+U17))</f>
        <v>1771.6306</v>
      </c>
      <c r="W17" s="5"/>
      <c r="X17" s="5"/>
      <c r="Y17" s="5"/>
      <c r="Z17" s="5"/>
      <c r="AA17" s="5"/>
      <c r="AB17" s="5"/>
      <c r="AC17" s="5"/>
      <c r="AD17" s="33">
        <v>22.01</v>
      </c>
      <c r="AE17" s="5">
        <f>IF(AD17=0,(W17+4*X17+2*Y17+4*Z17+AA17)*AC17/12+W17*AB17/1.5,AD17)</f>
        <v>22.01</v>
      </c>
      <c r="AF17" s="11"/>
      <c r="AG17" s="11"/>
      <c r="AH17" s="5">
        <f>IF(AC17=0,AE17+AF17*AG17/2,AE17+AC17*AG17/2)</f>
        <v>22.01</v>
      </c>
      <c r="AI17" s="3"/>
      <c r="AJ17" s="3"/>
      <c r="AK17" s="33">
        <v>17.73</v>
      </c>
      <c r="AL17" s="5">
        <f>IF(AK17=0,AI17*AJ17/2,AK17)</f>
        <v>17.73</v>
      </c>
      <c r="AM17" s="3"/>
      <c r="AN17" s="5"/>
      <c r="AO17" s="5"/>
      <c r="AP17" s="5">
        <f>AL17+AI17*(AN17-AO17)/2</f>
        <v>17.73</v>
      </c>
      <c r="AQ17" s="5">
        <f>0.1*(AE17+AL17)</f>
        <v>3.974</v>
      </c>
      <c r="AR17" s="11">
        <v>12</v>
      </c>
      <c r="AS17" s="11"/>
      <c r="AT17" s="11"/>
      <c r="AU17" s="11"/>
      <c r="AV17" s="33"/>
      <c r="AW17" s="5">
        <f>IF(AV17=0,AS17/6*(AT17+AU17*4),AV17)</f>
        <v>0</v>
      </c>
      <c r="AX17" s="11">
        <v>0</v>
      </c>
      <c r="AY17" s="5">
        <f>IF(AX17&lt;0.149*M17+0.329,1,AX17/(0.149*M17+0.329))</f>
        <v>1</v>
      </c>
      <c r="AZ17" s="5">
        <f>IF(AW17*AY17&gt;AL17,(AW17*AY17-AL17)/4,0)</f>
        <v>0</v>
      </c>
      <c r="BA17" s="12">
        <f>0.401+0.1831*(2*AR17^2/(AH17+AP17+AZ17))-0.02016*(2*AR17^2/(AH17+AP17+AZ17))^2+0.0007472*(2*AR17^2/(AH17+AP17+AZ17))^3</f>
        <v>0.9535316436238384</v>
      </c>
      <c r="BB17" s="3"/>
      <c r="BC17" s="3"/>
      <c r="BD17" s="3"/>
      <c r="BE17" s="3"/>
      <c r="BF17" s="33">
        <v>0</v>
      </c>
      <c r="BG17" s="5">
        <f>IF(BF17=0,(BC17+BD17)*(BB17/12+BE17/3),BF17)</f>
        <v>0</v>
      </c>
      <c r="BH17" s="5">
        <f>IF(BG17*AY17&gt;AL17+AZ17,BG17*AY17-AL17-AZ17,0)</f>
        <v>0</v>
      </c>
      <c r="BI17" s="5">
        <f>IF(M17/1.6&lt;8,ROUND(M17/1.6,0),8)</f>
        <v>5</v>
      </c>
      <c r="BJ17" s="5">
        <f>(AH17+AP17+AZ17)*BA17+0.1*BH17</f>
        <v>37.89334751761134</v>
      </c>
      <c r="BK17" s="11">
        <v>1.5</v>
      </c>
      <c r="BL17" s="5">
        <f>M17*0.2</f>
        <v>1.7</v>
      </c>
      <c r="BM17" s="5">
        <f>ROUNDDOWN(M17/2.13,0)</f>
        <v>3</v>
      </c>
      <c r="BN17" s="12">
        <f>M17/4.26</f>
        <v>1.995305164319249</v>
      </c>
      <c r="BO17" s="5">
        <f>IF(M17&lt;8,1.22,IF(M17&lt;15.2,0.108333*M17+0.353,2))</f>
        <v>1.2738305</v>
      </c>
      <c r="BP17" s="12">
        <f>IF(BK17&lt;BO17,1+0.3*(BO17-BK17)/M17,1)</f>
        <v>1</v>
      </c>
      <c r="BQ17" s="32"/>
      <c r="BR17" s="39">
        <v>0</v>
      </c>
      <c r="BS17" t="s" s="24">
        <v>154</v>
      </c>
      <c r="BT17" s="36"/>
      <c r="BU17" s="36"/>
      <c r="BV17" s="5">
        <f>IF(BQ17&lt;(M17/0.3048)^0.5,1,IF(BU17="x",1-BR17*0.02,IF(BT17="x",1-BR17*0.01,1)))</f>
        <v>1</v>
      </c>
      <c r="BW17" s="12">
        <f>IF(K17="x",MIN(1.315,1.28+U17*N17/BJ17/AR17/1100),IF(L17="x",1.28,MAX(1.245,1.28-U17*N17/BJ17/AR17/1100)))</f>
        <v>1.254509797782839</v>
      </c>
      <c r="BX17" s="41">
        <f>BW17*T17*BV17*BP17*N17^0.3*BJ17^0.4/V17^0.325</f>
        <v>0.9014513721298155</v>
      </c>
      <c r="BY17" s="29"/>
      <c r="BZ17" s="29"/>
      <c r="CA17" t="s" s="19">
        <v>162</v>
      </c>
      <c r="CB17" t="s" s="19">
        <v>238</v>
      </c>
      <c r="CC17" t="s" s="19">
        <v>164</v>
      </c>
      <c r="CD17" s="3"/>
      <c r="CE17" s="3"/>
      <c r="CF17" s="3"/>
      <c r="CG17" t="s" s="30">
        <f>A17</f>
        <v>239</v>
      </c>
    </row>
    <row r="18" ht="12.75" customHeight="1">
      <c r="A18" t="s" s="25">
        <v>240</v>
      </c>
      <c r="B18" t="s" s="19">
        <v>241</v>
      </c>
      <c r="C18" t="s" s="19">
        <v>242</v>
      </c>
      <c r="D18" t="s" s="19">
        <v>243</v>
      </c>
      <c r="E18" t="s" s="19">
        <v>244</v>
      </c>
      <c r="F18" s="4"/>
      <c r="G18" s="4"/>
      <c r="H18" s="32"/>
      <c r="I18" s="32"/>
      <c r="J18" t="s" s="24">
        <v>154</v>
      </c>
      <c r="K18" s="36"/>
      <c r="L18" s="36"/>
      <c r="M18" s="11">
        <v>14.5</v>
      </c>
      <c r="N18" s="15">
        <v>14.5</v>
      </c>
      <c r="O18" s="11">
        <v>7.9</v>
      </c>
      <c r="P18" s="11">
        <v>1.35</v>
      </c>
      <c r="Q18" s="37"/>
      <c r="R18" s="36"/>
      <c r="S18" s="36"/>
      <c r="T18" s="38">
        <f>IF(S18&gt;0,1.048,IF(R18&gt;0,1.048,IF(Q18&gt;0,1.036,0.907+1.55*(P18/N18)-4.449*(P18/N18)^2)))</f>
        <v>1.012745291319857</v>
      </c>
      <c r="U18" s="39">
        <v>9330</v>
      </c>
      <c r="V18" s="45">
        <f>IF(H18="x",75+U18,IF(M18&lt;6.66,150+U18,-1.7384*M18^2+92.38*M18-388+U18))</f>
        <v>9916.011399999999</v>
      </c>
      <c r="W18" s="9"/>
      <c r="X18" s="9"/>
      <c r="Y18" s="9"/>
      <c r="Z18" s="9"/>
      <c r="AA18" s="9"/>
      <c r="AB18" s="9"/>
      <c r="AC18" s="9"/>
      <c r="AD18" s="33">
        <v>73</v>
      </c>
      <c r="AE18" s="5">
        <f>IF(AD18=0,(W18+4*X18+2*Y18+4*Z18+AA18)*AC18/12+W18*AB18/1.5,AD18)</f>
        <v>73</v>
      </c>
      <c r="AF18" s="11">
        <v>18.75</v>
      </c>
      <c r="AG18" s="11"/>
      <c r="AH18" s="5">
        <f>IF(AC18=0,AE18+AF18*AG18/2,AE18+AC18*AG18/2)</f>
        <v>73</v>
      </c>
      <c r="AI18" s="9"/>
      <c r="AJ18" s="9"/>
      <c r="AK18" s="33">
        <v>47</v>
      </c>
      <c r="AL18" s="5">
        <f>IF(AK18=0,AI18*AJ18/2,AK18)</f>
        <v>47</v>
      </c>
      <c r="AM18" s="32"/>
      <c r="AN18" s="11"/>
      <c r="AO18" s="11"/>
      <c r="AP18" s="5">
        <f>AL18+AI18*(AN18-AO18)/2</f>
        <v>47</v>
      </c>
      <c r="AQ18" s="5">
        <f>0.1*(AE18+AL18)</f>
        <v>12</v>
      </c>
      <c r="AR18" s="11">
        <v>19.75</v>
      </c>
      <c r="AS18" s="11"/>
      <c r="AT18" s="11"/>
      <c r="AU18" s="11"/>
      <c r="AV18" s="33"/>
      <c r="AW18" s="5">
        <f>IF(AV18=0,AS18/6*(AT18+AU18*4),AV18)</f>
        <v>0</v>
      </c>
      <c r="AX18" s="11"/>
      <c r="AY18" s="5">
        <f>IF(AX18&lt;0.149*M18+0.329,1,AX18/(0.149*M18+0.329))</f>
        <v>1</v>
      </c>
      <c r="AZ18" s="5">
        <f>IF(AW18*AY18&gt;AL18,(AW18*AY18-AL18)/4,0)</f>
        <v>0</v>
      </c>
      <c r="BA18" s="12">
        <f>0.401+0.1831*(2*AR18^2/(AH18+AP18+AZ18))-0.02016*(2*AR18^2/(AH18+AP18+AZ18))^2+0.0007472*(2*AR18^2/(AH18+AP18+AZ18))^3</f>
        <v>0.9446061768524071</v>
      </c>
      <c r="BB18" s="9"/>
      <c r="BC18" s="9"/>
      <c r="BD18" s="9"/>
      <c r="BE18" s="9"/>
      <c r="BF18" s="33"/>
      <c r="BG18" s="5">
        <f>IF(BF18=0,(BC18+BD18)*(BB18/12+BE18/3),BF18)</f>
        <v>0</v>
      </c>
      <c r="BH18" s="5">
        <f>IF(BG18*AY18&gt;AL18+AZ18,BG18*AY18-AL18-AZ18,0)</f>
        <v>0</v>
      </c>
      <c r="BI18" s="42">
        <f>IF(M18/1.6&lt;8,ROUND(M18/1.6,0),8)</f>
        <v>8</v>
      </c>
      <c r="BJ18" s="15">
        <f>(AH18+AP18+AZ18)*BA18+0.1*BH18</f>
        <v>113.3527412222889</v>
      </c>
      <c r="BK18" s="11">
        <v>1.95</v>
      </c>
      <c r="BL18" s="5">
        <f>M18*0.2</f>
        <v>2.9</v>
      </c>
      <c r="BM18" s="5">
        <f>ROUNDDOWN(M18/2.13,0)</f>
        <v>6</v>
      </c>
      <c r="BN18" s="12">
        <f>M18/4.26</f>
        <v>3.403755868544601</v>
      </c>
      <c r="BO18" s="5">
        <f>IF(M18&lt;8,1.22,IF(M18&lt;15.2,0.108333*M18+0.353,2))</f>
        <v>1.9238285</v>
      </c>
      <c r="BP18" s="7">
        <f>IF(BK18&lt;BO18,1+0.3*(BO18-BK18)/M18,1)</f>
        <v>1</v>
      </c>
      <c r="BQ18" s="39">
        <v>7</v>
      </c>
      <c r="BR18" s="39">
        <v>2</v>
      </c>
      <c r="BS18" s="36"/>
      <c r="BT18" s="36"/>
      <c r="BU18" t="s" s="24">
        <v>154</v>
      </c>
      <c r="BV18" s="15">
        <f>IF(BQ18&lt;(M18/0.3048)^0.5,1,IF(BU18="x",1-BR18*0.02,IF(BT18="x",1-BR18*0.01,1)))</f>
        <v>0.96</v>
      </c>
      <c r="BW18" s="7">
        <f>IF(K18="x",MIN(1.315,1.28+U18*N18/BJ18/AR18/1100),IF(L18="x",1.28,MAX(1.245,1.28-U18*N18/BJ18/AR18/1100)))</f>
        <v>1.245</v>
      </c>
      <c r="BX18" s="41">
        <f>BW18*T18*BV18*BP18*N18^0.3*BJ18^0.4/V18^0.325</f>
        <v>0.9001491961869028</v>
      </c>
      <c r="BY18" s="8"/>
      <c r="BZ18" s="8"/>
      <c r="CA18" t="s" s="31">
        <v>188</v>
      </c>
      <c r="CB18" t="s" s="31">
        <v>245</v>
      </c>
      <c r="CC18" t="s" s="19">
        <v>180</v>
      </c>
      <c r="CD18" s="3"/>
      <c r="CE18" s="3"/>
      <c r="CF18" s="3"/>
      <c r="CG18" t="s" s="30">
        <f>A18</f>
        <v>246</v>
      </c>
    </row>
    <row r="19" ht="12.75" customHeight="1">
      <c r="A19" t="s" s="25">
        <v>247</v>
      </c>
      <c r="B19" t="s" s="19">
        <v>248</v>
      </c>
      <c r="C19" t="s" s="19">
        <v>249</v>
      </c>
      <c r="D19" t="s" s="19">
        <v>250</v>
      </c>
      <c r="E19" t="s" s="19">
        <v>251</v>
      </c>
      <c r="F19" s="3"/>
      <c r="G19" t="s" s="19">
        <v>252</v>
      </c>
      <c r="H19" s="32"/>
      <c r="I19" s="32"/>
      <c r="J19" s="36"/>
      <c r="K19" t="s" s="24">
        <v>154</v>
      </c>
      <c r="L19" s="36"/>
      <c r="M19" s="11">
        <v>12.26</v>
      </c>
      <c r="N19" s="5">
        <v>11.85</v>
      </c>
      <c r="O19" s="11">
        <v>8.050000000000001</v>
      </c>
      <c r="P19" s="11"/>
      <c r="Q19" s="37"/>
      <c r="R19" t="s" s="24">
        <v>154</v>
      </c>
      <c r="S19" s="36"/>
      <c r="T19" s="38">
        <f>IF(S19&gt;0,1.048,IF(R19&gt;0,1.048,IF(Q19&gt;0,1.036,0.907+1.55*(P19/N19)-4.449*(P19/N19)^2)))</f>
        <v>1.048</v>
      </c>
      <c r="U19" s="39">
        <v>3382</v>
      </c>
      <c r="V19" s="40">
        <f>IF(H19="x",75+U19,IF(M19&lt;6.66,150+U19,-1.7384*M19^2+92.38*M19-388+U19))</f>
        <v>3865.28406816</v>
      </c>
      <c r="W19" s="5">
        <v>4.8</v>
      </c>
      <c r="X19" s="5">
        <v>4.45</v>
      </c>
      <c r="Y19" s="5">
        <v>3.8</v>
      </c>
      <c r="Z19" s="5">
        <v>2.72</v>
      </c>
      <c r="AA19" s="5">
        <v>0.16</v>
      </c>
      <c r="AB19" s="5">
        <v>0.08</v>
      </c>
      <c r="AC19" s="5">
        <v>14.46</v>
      </c>
      <c r="AD19" s="33"/>
      <c r="AE19" s="5">
        <f>IF(AD19=0,(W19+4*X19+2*Y19+4*Z19+AA19)*AC19/12+W19*AB19/1.5,AD19)</f>
        <v>49.9502</v>
      </c>
      <c r="AF19" s="11"/>
      <c r="AG19" s="11">
        <v>0</v>
      </c>
      <c r="AH19" s="5">
        <f>IF(AC19=0,AE19+AF19*AG19/2,AE19+AC19*AG19/2)</f>
        <v>49.9502</v>
      </c>
      <c r="AI19" s="5">
        <v>13</v>
      </c>
      <c r="AJ19" s="5">
        <v>4.56</v>
      </c>
      <c r="AK19" s="33"/>
      <c r="AL19" s="5">
        <f>IF(AK19=0,AI19*AJ19/2,AK19)</f>
        <v>29.64</v>
      </c>
      <c r="AM19" s="3"/>
      <c r="AN19" s="5"/>
      <c r="AO19" s="5">
        <v>0.13</v>
      </c>
      <c r="AP19" s="5">
        <f>AL19+AI19*(AN19-AO19)/2</f>
        <v>28.795</v>
      </c>
      <c r="AQ19" s="5">
        <f>0.1*(AE19+AL19)</f>
        <v>7.95902</v>
      </c>
      <c r="AR19" s="11">
        <v>15.95</v>
      </c>
      <c r="AS19" s="11"/>
      <c r="AT19" s="11"/>
      <c r="AU19" s="11"/>
      <c r="AV19" s="33">
        <v>38.78</v>
      </c>
      <c r="AW19" s="5">
        <f>IF(AV19=0,AS19/6*(AT19+AU19*4),AV19)</f>
        <v>38.78</v>
      </c>
      <c r="AX19" s="11">
        <v>0.45</v>
      </c>
      <c r="AY19" s="5">
        <f>IF(AX19&lt;0.149*M19+0.329,1,AX19/(0.149*M19+0.329))</f>
        <v>1</v>
      </c>
      <c r="AZ19" s="5">
        <f>IF(AW19*AY19&gt;AL19,(AW19*AY19-AL19)/4,0)</f>
        <v>2.285000000000001</v>
      </c>
      <c r="BA19" s="12">
        <f>0.401+0.1831*(2*AR19^2/(AH19+AP19+AZ19))-0.02016*(2*AR19^2/(AH19+AP19+AZ19))^2+0.0007472*(2*AR19^2/(AH19+AP19+AZ19))^3</f>
        <v>0.9408366328555201</v>
      </c>
      <c r="BB19" s="5">
        <v>7.91</v>
      </c>
      <c r="BC19" s="5">
        <v>14.25</v>
      </c>
      <c r="BD19" s="5">
        <v>14.25</v>
      </c>
      <c r="BE19" s="5">
        <v>7.63</v>
      </c>
      <c r="BF19" s="33"/>
      <c r="BG19" s="5">
        <f>IF(BF19=0,(BC19+BD19)*(BB19/12+BE19/3),BF19)</f>
        <v>91.27125000000001</v>
      </c>
      <c r="BH19" s="5">
        <f>IF(BG19*AY19&gt;AL19+AZ19,BG19*AY19-AL19-AZ19,0)</f>
        <v>59.34625</v>
      </c>
      <c r="BI19" s="5">
        <f>IF(M19/1.6&lt;8,ROUND(M19/1.6,0),8)</f>
        <v>8</v>
      </c>
      <c r="BJ19" s="5">
        <f>(AH19+AP19+AZ19)*BA19+0.1*BH19</f>
        <v>82.17080552760936</v>
      </c>
      <c r="BK19" s="11">
        <v>1.77</v>
      </c>
      <c r="BL19" s="5">
        <f>M19*0.2</f>
        <v>2.452</v>
      </c>
      <c r="BM19" s="5">
        <f>ROUNDDOWN(M19/2.13,0)</f>
        <v>5</v>
      </c>
      <c r="BN19" s="12">
        <f>M19/4.26</f>
        <v>2.877934272300469</v>
      </c>
      <c r="BO19" s="5">
        <f>IF(M19&lt;8,1.22,IF(M19&lt;15.2,0.108333*M19+0.353,2))</f>
        <v>1.68116258</v>
      </c>
      <c r="BP19" s="12">
        <f>IF(BK19&lt;BO19,1+0.3*(BO19-BK19)/M19,1)</f>
        <v>1</v>
      </c>
      <c r="BQ19" s="39">
        <v>6.4</v>
      </c>
      <c r="BR19" s="39">
        <v>1</v>
      </c>
      <c r="BS19" s="36"/>
      <c r="BT19" t="s" s="24">
        <v>154</v>
      </c>
      <c r="BU19" s="36"/>
      <c r="BV19" s="5">
        <f>IF(BQ19&lt;(M19/0.3048)^0.5,1,IF(BU19="x",1-BR19*0.02,IF(BT19="x",1-BR19*0.01,1)))</f>
        <v>0.99</v>
      </c>
      <c r="BW19" s="12">
        <f>IF(K19="x",MIN(1.315,1.28+U19*N19/BJ19/AR19/1100),IF(L19="x",1.28,MAX(1.245,1.28-U19*N19/BJ19/AR19/1100)))</f>
        <v>1.30779847916557</v>
      </c>
      <c r="BX19" s="41">
        <f>BW19*T19*BV19*BP19*N19^0.3*BJ19^0.4/V19^0.325</f>
        <v>1.134242373180649</v>
      </c>
      <c r="BY19" s="3"/>
      <c r="BZ19" s="3"/>
      <c r="CA19" t="s" s="19">
        <v>253</v>
      </c>
      <c r="CB19" s="46">
        <v>36681</v>
      </c>
      <c r="CC19" t="s" s="19">
        <v>254</v>
      </c>
      <c r="CD19" s="3"/>
      <c r="CE19" s="3"/>
      <c r="CF19" s="3"/>
      <c r="CG19" t="s" s="30">
        <f>A19</f>
        <v>255</v>
      </c>
    </row>
    <row r="20" ht="12.75" customHeight="1">
      <c r="A20" t="s" s="25">
        <v>256</v>
      </c>
      <c r="B20" t="s" s="19">
        <v>257</v>
      </c>
      <c r="C20" t="s" s="19">
        <v>258</v>
      </c>
      <c r="D20" s="3"/>
      <c r="E20" t="s" s="19">
        <v>259</v>
      </c>
      <c r="F20" s="3"/>
      <c r="G20" s="3"/>
      <c r="H20" s="32"/>
      <c r="I20" s="32"/>
      <c r="J20" t="s" s="24">
        <v>154</v>
      </c>
      <c r="K20" s="36"/>
      <c r="L20" s="36"/>
      <c r="M20" s="11">
        <v>10.6</v>
      </c>
      <c r="N20" s="5">
        <v>10.5</v>
      </c>
      <c r="O20" s="11">
        <v>6</v>
      </c>
      <c r="P20" s="11">
        <v>0.6</v>
      </c>
      <c r="Q20" s="37"/>
      <c r="R20" s="36"/>
      <c r="S20" s="36"/>
      <c r="T20" s="38">
        <f>IF(S20&gt;0,1.048,IF(R20&gt;0,1.048,IF(Q20&gt;0,1.036,0.907+1.55*(P20/N20)-4.449*(P20/N20)^2)))</f>
        <v>0.981044081632653</v>
      </c>
      <c r="U20" s="39">
        <v>2600</v>
      </c>
      <c r="V20" s="40">
        <f>IF(H20="x",75+U20,IF(M20&lt;6.66,150+U20,-1.7384*M20^2+92.38*M20-388+U20))</f>
        <v>2995.901376</v>
      </c>
      <c r="W20" s="5"/>
      <c r="X20" s="5"/>
      <c r="Y20" s="5"/>
      <c r="Z20" s="5"/>
      <c r="AA20" s="5"/>
      <c r="AB20" s="5"/>
      <c r="AC20" s="5"/>
      <c r="AD20" s="33">
        <v>28</v>
      </c>
      <c r="AE20" s="5">
        <f>IF(AD20=0,(W20+4*X20+2*Y20+4*Z20+AA20)*AC20/12+W20*AB20/1.5,AD20)</f>
        <v>28</v>
      </c>
      <c r="AF20" s="11">
        <v>11</v>
      </c>
      <c r="AG20" s="11"/>
      <c r="AH20" s="5">
        <f>IF(AC20=0,AE20+AF20*AG20/2,AE20+AC20*AG20/2)</f>
        <v>28</v>
      </c>
      <c r="AI20" s="3"/>
      <c r="AJ20" s="3"/>
      <c r="AK20" s="33">
        <v>22</v>
      </c>
      <c r="AL20" s="5">
        <f>IF(AK20=0,AI20*AJ20/2,AK20)</f>
        <v>22</v>
      </c>
      <c r="AM20" s="3"/>
      <c r="AN20" s="5"/>
      <c r="AO20" s="5"/>
      <c r="AP20" s="5">
        <f>AL20+AI20*(AN20-AO20)/2</f>
        <v>22</v>
      </c>
      <c r="AQ20" s="5">
        <f>0.1*(AE20+AL20)</f>
        <v>5</v>
      </c>
      <c r="AR20" s="11">
        <v>12</v>
      </c>
      <c r="AS20" s="11"/>
      <c r="AT20" s="11"/>
      <c r="AU20" s="11"/>
      <c r="AV20" s="33"/>
      <c r="AW20" s="5">
        <f>IF(AV20=0,AS20/6*(AT20+AU20*4),AV20)</f>
        <v>0</v>
      </c>
      <c r="AX20" s="11">
        <v>0.5</v>
      </c>
      <c r="AY20" s="5">
        <f>IF(AX20&lt;0.149*M20+0.329,1,AX20/(0.149*M20+0.329))</f>
        <v>1</v>
      </c>
      <c r="AZ20" s="5">
        <f>IF(AW20*AY20&gt;AL20,(AW20*AY20-AL20)/4,0)</f>
        <v>0</v>
      </c>
      <c r="BA20" s="12">
        <f>0.401+0.1831*(2*AR20^2/(AH20+AP20+AZ20))-0.02016*(2*AR20^2/(AH20+AP20+AZ20))^2+0.0007472*(2*AR20^2/(AH20+AP20+AZ20))^3</f>
        <v>0.9295877276672</v>
      </c>
      <c r="BB20" s="3"/>
      <c r="BC20" s="3"/>
      <c r="BD20" s="3"/>
      <c r="BE20" s="3"/>
      <c r="BF20" s="33">
        <v>55</v>
      </c>
      <c r="BG20" s="5">
        <f>IF(BF20=0,(BC20+BD20)*(BB20/12+BE20/3),BF20)</f>
        <v>55</v>
      </c>
      <c r="BH20" s="5">
        <f>IF(BG20*AY20&gt;AL20+AZ20,BG20*AY20-AL20-AZ20,0)</f>
        <v>33</v>
      </c>
      <c r="BI20" s="42">
        <v>7</v>
      </c>
      <c r="BJ20" s="5">
        <f>(AH20+AP20+AZ20)*BA20+0.1*BH20</f>
        <v>49.779386383360</v>
      </c>
      <c r="BK20" s="11">
        <v>1.2</v>
      </c>
      <c r="BL20" s="5">
        <f>M20*0.2</f>
        <v>2.12</v>
      </c>
      <c r="BM20" s="5">
        <f>ROUNDDOWN(M20/2.13,0)</f>
        <v>4</v>
      </c>
      <c r="BN20" s="12">
        <f>M20/4.26</f>
        <v>2.488262910798122</v>
      </c>
      <c r="BO20" s="5">
        <f>IF(M20&lt;8,1.22,IF(M20&lt;15.2,0.108333*M20+0.353,2))</f>
        <v>1.5013298</v>
      </c>
      <c r="BP20" s="12">
        <f>IF(BK20&lt;BO20,1+0.3*(BO20-BK20)/M20,1)</f>
        <v>1.008528201886792</v>
      </c>
      <c r="BQ20" s="39">
        <v>5</v>
      </c>
      <c r="BR20" s="32"/>
      <c r="BS20" t="s" s="24">
        <v>154</v>
      </c>
      <c r="BT20" s="36"/>
      <c r="BU20" s="36"/>
      <c r="BV20" s="5">
        <f>IF(BQ20&lt;(M20/0.3048)^0.5,1,IF(BU20="x",1-BR20*0.02,IF(BT20="x",1-BR20*0.01,1)))</f>
        <v>1</v>
      </c>
      <c r="BW20" s="12">
        <f>IF(K20="x",MIN(1.315,1.28+U20*N20/BJ20/AR20/1100),IF(L20="x",1.28,MAX(1.245,1.28-U20*N20/BJ20/AR20/1100)))</f>
        <v>1.245</v>
      </c>
      <c r="BX20" s="41">
        <f>BW20*T20*BV20*BP20*N20^0.3*BJ20^0.4/V20^0.325</f>
        <v>0.8827771522615208</v>
      </c>
      <c r="BY20" s="29"/>
      <c r="BZ20" s="29"/>
      <c r="CA20" t="s" s="19">
        <v>260</v>
      </c>
      <c r="CB20" t="s" s="19">
        <v>261</v>
      </c>
      <c r="CC20" t="s" s="19">
        <v>180</v>
      </c>
      <c r="CD20" s="3"/>
      <c r="CE20" s="3"/>
      <c r="CF20" s="3"/>
      <c r="CG20" t="s" s="30">
        <f>A20</f>
        <v>262</v>
      </c>
    </row>
    <row r="21" ht="12.75" customHeight="1">
      <c r="A21" t="s" s="25">
        <v>263</v>
      </c>
      <c r="B21" t="s" s="19">
        <v>264</v>
      </c>
      <c r="C21" t="s" s="19">
        <v>265</v>
      </c>
      <c r="D21" t="s" s="19">
        <v>266</v>
      </c>
      <c r="E21" t="s" s="19">
        <v>267</v>
      </c>
      <c r="F21" t="s" s="19">
        <v>268</v>
      </c>
      <c r="G21" t="s" s="19">
        <v>269</v>
      </c>
      <c r="H21" s="32"/>
      <c r="I21" s="32"/>
      <c r="J21" t="s" s="24">
        <v>154</v>
      </c>
      <c r="K21" s="36"/>
      <c r="L21" s="36"/>
      <c r="M21" s="11">
        <v>13.47</v>
      </c>
      <c r="N21" s="5">
        <v>13.47</v>
      </c>
      <c r="O21" s="11">
        <v>6.8</v>
      </c>
      <c r="P21" s="11">
        <v>1.25</v>
      </c>
      <c r="Q21" s="37"/>
      <c r="R21" s="36"/>
      <c r="S21" s="36"/>
      <c r="T21" s="38">
        <f>IF(S21&gt;0,1.048,IF(R21&gt;0,1.048,IF(Q21&gt;0,1.036,0.907+1.55*(P21/N21)-4.449*(P21/N21)^2)))</f>
        <v>1.012525063533084</v>
      </c>
      <c r="U21" s="39">
        <v>9884</v>
      </c>
      <c r="V21" s="40">
        <f>IF(H21="x",75+U21,IF(M21&lt;6.66,150+U21,-1.7384*M21^2+92.38*M21-388+U21))</f>
        <v>10424.94173944</v>
      </c>
      <c r="W21" s="5"/>
      <c r="X21" s="5"/>
      <c r="Y21" s="5"/>
      <c r="Z21" s="5"/>
      <c r="AA21" s="5"/>
      <c r="AB21" s="5"/>
      <c r="AC21" s="5">
        <v>14.2</v>
      </c>
      <c r="AD21" s="33">
        <v>65</v>
      </c>
      <c r="AE21" s="5">
        <f>IF(AD21=0,(W21+4*X21+2*Y21+4*Z21+AA21)*AC21/12+W21*AB21/1.5,AD21)</f>
        <v>65</v>
      </c>
      <c r="AF21" s="11">
        <v>16</v>
      </c>
      <c r="AG21" s="11"/>
      <c r="AH21" s="5">
        <f>IF(AC21=0,AE21+AF21*AG21/2,AE21+AC21*AG21/2)</f>
        <v>65</v>
      </c>
      <c r="AI21" s="5">
        <v>12.75</v>
      </c>
      <c r="AJ21" s="3"/>
      <c r="AK21" s="33">
        <v>30</v>
      </c>
      <c r="AL21" s="5">
        <f>IF(AK21=0,AI21*AJ21/2,AK21)</f>
        <v>30</v>
      </c>
      <c r="AM21" s="3"/>
      <c r="AN21" s="5"/>
      <c r="AO21" s="5">
        <v>0.15</v>
      </c>
      <c r="AP21" s="5">
        <f>AL21+AI21*(AN21-AO21)/2</f>
        <v>29.04375</v>
      </c>
      <c r="AQ21" s="5">
        <f>0.1*(AE21+AL21)</f>
        <v>9.5</v>
      </c>
      <c r="AR21" s="11">
        <v>13.3</v>
      </c>
      <c r="AS21" s="11"/>
      <c r="AT21" s="11"/>
      <c r="AU21" s="11"/>
      <c r="AV21" s="33">
        <v>61</v>
      </c>
      <c r="AW21" s="5">
        <f>IF(AV21=0,AS21/6*(AT21+AU21*4),AV21)</f>
        <v>61</v>
      </c>
      <c r="AX21" s="11">
        <v>0.8</v>
      </c>
      <c r="AY21" s="5">
        <f>IF(AX21&lt;0.149*M21+0.329,1,AX21/(0.149*M21+0.329))</f>
        <v>1</v>
      </c>
      <c r="AZ21" s="5">
        <f>IF(AW21*AY21&gt;AL21,(AW21*AY21-AL21)/4,0)</f>
        <v>7.75</v>
      </c>
      <c r="BA21" s="12">
        <f>0.401+0.1831*(2*AR21^2/(AH21+AP21+AZ21))-0.02016*(2*AR21^2/(AH21+AP21+AZ21))^2+0.0007472*(2*AR21^2/(AH21+AP21+AZ21))^3</f>
        <v>0.8252146521013878</v>
      </c>
      <c r="BB21" s="3"/>
      <c r="BC21" s="3"/>
      <c r="BD21" s="3"/>
      <c r="BE21" s="3"/>
      <c r="BF21" s="33"/>
      <c r="BG21" s="5">
        <f>IF(BF21=0,(BC21+BD21)*(BB21/12+BE21/3),BF21)</f>
        <v>0</v>
      </c>
      <c r="BH21" s="5">
        <f>IF(BG21*AY21&gt;AL21+AZ21,BG21*AY21-AL21-AZ21,0)</f>
        <v>0</v>
      </c>
      <c r="BI21" s="42">
        <f>IF(M21/1.6&lt;8,ROUND(M21/1.6,0),8)</f>
        <v>8</v>
      </c>
      <c r="BJ21" s="5">
        <f>(AH21+AP21+AZ21)*BA21+0.1*BH21</f>
        <v>84.00169399234565</v>
      </c>
      <c r="BK21" s="11">
        <v>1.9</v>
      </c>
      <c r="BL21" s="5">
        <f>M21*0.2</f>
        <v>2.694</v>
      </c>
      <c r="BM21" s="5">
        <f>ROUNDDOWN(M21/2.13,0)</f>
        <v>6</v>
      </c>
      <c r="BN21" s="12">
        <f>M21/4.26</f>
        <v>3.161971830985916</v>
      </c>
      <c r="BO21" s="5">
        <f>IF(M21&lt;8,1.22,IF(M21&lt;15.2,0.108333*M21+0.353,2))</f>
        <v>1.81224551</v>
      </c>
      <c r="BP21" s="12">
        <f>IF(BK21&lt;BO21,1+0.3*(BO21-BK21)/M21,1)</f>
        <v>1</v>
      </c>
      <c r="BQ21" s="39">
        <v>7.5</v>
      </c>
      <c r="BR21" s="39">
        <v>2</v>
      </c>
      <c r="BS21" s="36"/>
      <c r="BT21" s="36"/>
      <c r="BU21" t="s" s="24">
        <v>154</v>
      </c>
      <c r="BV21" s="5">
        <f>IF(BQ21&lt;(M21/0.3048)^0.5,1,IF(BU21="x",1-BR21*0.02,IF(BT21="x",1-BR21*0.01,1)))</f>
        <v>0.96</v>
      </c>
      <c r="BW21" s="12">
        <f>IF(K21="x",MIN(1.315,1.28+U21*N21/BJ21/AR21/1100),IF(L21="x",1.28,MAX(1.245,1.28-U21*N21/BJ21/AR21/1100)))</f>
        <v>1.245</v>
      </c>
      <c r="BX21" s="41">
        <f>BW21*T21*BV21*BP21*N21^0.3*BJ21^0.4/V21^0.325</f>
        <v>0.7682417962819716</v>
      </c>
      <c r="BY21" s="29"/>
      <c r="BZ21" s="29"/>
      <c r="CA21" t="s" s="19">
        <v>188</v>
      </c>
      <c r="CB21" s="47">
        <v>39952</v>
      </c>
      <c r="CC21" s="3"/>
      <c r="CD21" s="3"/>
      <c r="CE21" s="3"/>
      <c r="CF21" s="3"/>
      <c r="CG21" t="s" s="30">
        <f>A21</f>
        <v>270</v>
      </c>
    </row>
    <row r="22" ht="12.75" customHeight="1">
      <c r="A22" t="s" s="25">
        <v>271</v>
      </c>
      <c r="B22" t="s" s="19">
        <v>272</v>
      </c>
      <c r="C22" t="s" s="19">
        <v>158</v>
      </c>
      <c r="D22" t="s" s="19">
        <v>159</v>
      </c>
      <c r="E22" t="s" s="19">
        <v>273</v>
      </c>
      <c r="F22" s="3"/>
      <c r="G22" s="3"/>
      <c r="H22" s="32"/>
      <c r="I22" s="32"/>
      <c r="J22" t="s" s="24">
        <v>154</v>
      </c>
      <c r="K22" s="36"/>
      <c r="L22" s="36"/>
      <c r="M22" s="11">
        <v>15</v>
      </c>
      <c r="N22" s="5">
        <v>15</v>
      </c>
      <c r="O22" s="11">
        <v>7.9</v>
      </c>
      <c r="P22" s="11"/>
      <c r="Q22" s="37"/>
      <c r="R22" t="s" s="24">
        <v>274</v>
      </c>
      <c r="S22" s="36"/>
      <c r="T22" s="38">
        <f>IF(S22&gt;0,1.048,IF(R22&gt;0,1.048,IF(Q22&gt;0,1.036,0.907+1.55*(P22/N22)-4.449*(P22/N22)^2)))</f>
        <v>1.048</v>
      </c>
      <c r="U22" s="39">
        <v>11000</v>
      </c>
      <c r="V22" s="40">
        <f>IF(H22="x",75+U22,IF(M22&lt;6.66,150+U22,-1.7384*M22^2+92.38*M22-388+U22))</f>
        <v>11606.56</v>
      </c>
      <c r="W22" s="5"/>
      <c r="X22" s="5"/>
      <c r="Y22" s="5"/>
      <c r="Z22" s="5"/>
      <c r="AA22" s="5"/>
      <c r="AB22" s="5"/>
      <c r="AC22" s="5"/>
      <c r="AD22" s="33">
        <v>77</v>
      </c>
      <c r="AE22" s="5">
        <f>IF(AD22=0,(W22+4*X22+2*Y22+4*Z22+AA22)*AC22/12+W22*AB22/1.5,AD22)</f>
        <v>77</v>
      </c>
      <c r="AF22" s="11">
        <v>20</v>
      </c>
      <c r="AG22" s="11"/>
      <c r="AH22" s="5">
        <f>IF(AC22=0,AE22+AF22*AG22/2,AE22+AC22*AG22/2)</f>
        <v>77</v>
      </c>
      <c r="AI22" s="3"/>
      <c r="AJ22" s="3"/>
      <c r="AK22" s="33">
        <v>61</v>
      </c>
      <c r="AL22" s="5">
        <f>IF(AK22=0,AI22*AJ22/2,AK22)</f>
        <v>61</v>
      </c>
      <c r="AM22" s="3"/>
      <c r="AN22" s="5"/>
      <c r="AO22" s="5"/>
      <c r="AP22" s="5">
        <f>AL22+AI22*(AN22-AO22)/2</f>
        <v>61</v>
      </c>
      <c r="AQ22" s="5">
        <f>0.1*(AE22+AL22)</f>
        <v>13.8</v>
      </c>
      <c r="AR22" s="11">
        <v>21</v>
      </c>
      <c r="AS22" s="11"/>
      <c r="AT22" s="11"/>
      <c r="AU22" s="11"/>
      <c r="AV22" s="33">
        <v>112</v>
      </c>
      <c r="AW22" s="5">
        <f>IF(AV22=0,AS22/6*(AT22+AU22*4),AV22)</f>
        <v>112</v>
      </c>
      <c r="AX22" s="11">
        <v>1</v>
      </c>
      <c r="AY22" s="5">
        <f>IF(AX22&lt;0.149*M22+0.329,1,AX22/(0.149*M22+0.329))</f>
        <v>1</v>
      </c>
      <c r="AZ22" s="5">
        <f>IF(AW22*AY22&gt;AL22,(AW22*AY22-AL22)/4,0)</f>
        <v>12.75</v>
      </c>
      <c r="BA22" s="12">
        <f>0.401+0.1831*(2*AR22^2/(AH22+AP22+AZ22))-0.02016*(2*AR22^2/(AH22+AP22+AZ22))^2+0.0007472*(2*AR22^2/(AH22+AP22+AZ22))^3</f>
        <v>0.9318179168102461</v>
      </c>
      <c r="BB22" s="3"/>
      <c r="BC22" s="3"/>
      <c r="BD22" s="3"/>
      <c r="BE22" s="3"/>
      <c r="BF22" s="33">
        <v>170</v>
      </c>
      <c r="BG22" s="5">
        <f>IF(BF22=0,(BC22+BD22)*(BB22/12+BE22/3),BF22)</f>
        <v>170</v>
      </c>
      <c r="BH22" s="5">
        <f>IF(BG22*AY22&gt;AL22+AZ22,BG22*AY22-AL22-AZ22,0)</f>
        <v>96.25</v>
      </c>
      <c r="BI22" s="42">
        <f>IF(M22/1.6&lt;8,ROUND(M22/1.6,0),8)</f>
        <v>8</v>
      </c>
      <c r="BJ22" s="5">
        <f>(AH22+AP22+AZ22)*BA22+0.1*BH22</f>
        <v>150.0965509591446</v>
      </c>
      <c r="BK22" s="11">
        <v>2</v>
      </c>
      <c r="BL22" s="5">
        <f>M22*0.2</f>
        <v>3</v>
      </c>
      <c r="BM22" s="5">
        <f>ROUNDDOWN(M22/2.13,0)</f>
        <v>7</v>
      </c>
      <c r="BN22" s="12">
        <f>M22/4.26</f>
        <v>3.52112676056338</v>
      </c>
      <c r="BO22" s="5">
        <f>IF(M22&lt;8,1.22,IF(M22&lt;15.2,0.108333*M22+0.353,2))</f>
        <v>1.977995</v>
      </c>
      <c r="BP22" s="12">
        <f>IF(BK22&lt;BO22,1+0.3*(BO22-BK22)/M22,1)</f>
        <v>1</v>
      </c>
      <c r="BQ22" s="39">
        <v>7.5</v>
      </c>
      <c r="BR22" s="39">
        <v>2</v>
      </c>
      <c r="BS22" s="36"/>
      <c r="BT22" t="s" s="24">
        <v>154</v>
      </c>
      <c r="BU22" s="36"/>
      <c r="BV22" s="5">
        <f>IF(BQ22&lt;(M22/0.3048)^0.5,1,IF(BU22="x",1-BR22*0.02,IF(BT22="x",1-BR22*0.01,1)))</f>
        <v>0.98</v>
      </c>
      <c r="BW22" s="12">
        <f>IF(K22="x",MIN(1.315,1.28+U22*N22/BJ22/AR22/1100),IF(L22="x",1.28,MAX(1.245,1.28-U22*N22/BJ22/AR22/1100)))</f>
        <v>1.245</v>
      </c>
      <c r="BX22" s="41">
        <f>BW22*T22*BV22*BP22*N22^0.3*BJ22^0.4/V22^0.325</f>
        <v>1.021183357403576</v>
      </c>
      <c r="BY22" s="29"/>
      <c r="BZ22" s="29"/>
      <c r="CA22" t="s" s="19">
        <v>188</v>
      </c>
      <c r="CB22" t="s" s="19">
        <v>245</v>
      </c>
      <c r="CC22" t="s" s="19">
        <v>180</v>
      </c>
      <c r="CD22" s="3"/>
      <c r="CE22" s="3"/>
      <c r="CF22" s="3"/>
      <c r="CG22" t="s" s="30">
        <f>A22</f>
        <v>275</v>
      </c>
    </row>
    <row r="23" ht="12.75" customHeight="1">
      <c r="A23" t="s" s="25">
        <v>276</v>
      </c>
      <c r="B23" t="s" s="19">
        <v>277</v>
      </c>
      <c r="C23" t="s" s="19">
        <v>278</v>
      </c>
      <c r="D23" t="s" s="19">
        <v>279</v>
      </c>
      <c r="E23" t="s" s="19">
        <v>280</v>
      </c>
      <c r="F23" s="4"/>
      <c r="G23" s="4"/>
      <c r="H23" s="32"/>
      <c r="I23" s="32"/>
      <c r="J23" t="s" s="24">
        <v>154</v>
      </c>
      <c r="K23" s="36"/>
      <c r="L23" s="36"/>
      <c r="M23" s="11">
        <v>11.98</v>
      </c>
      <c r="N23" s="15">
        <v>11.98</v>
      </c>
      <c r="O23" s="11">
        <v>6.7</v>
      </c>
      <c r="P23" s="11"/>
      <c r="Q23" s="37"/>
      <c r="R23" t="s" s="24">
        <v>281</v>
      </c>
      <c r="S23" s="36"/>
      <c r="T23" s="38">
        <f>IF(S23&gt;0,1.048,IF(R23&gt;0,1.048,IF(Q23&gt;0,1.036,0.907+1.55*(P23/N23)-4.449*(P23/N23)^2)))</f>
        <v>1.048</v>
      </c>
      <c r="U23" s="39">
        <v>6000</v>
      </c>
      <c r="V23" s="45">
        <f>IF(H23="x",75+U23,IF(M23&lt;6.66,150+U23,-1.7384*M23^2+92.38*M23-388+U23))</f>
        <v>6469.21653664</v>
      </c>
      <c r="W23" s="9"/>
      <c r="X23" s="9"/>
      <c r="Y23" s="9"/>
      <c r="Z23" s="9"/>
      <c r="AA23" s="9"/>
      <c r="AB23" s="9"/>
      <c r="AC23" s="9"/>
      <c r="AD23" s="33">
        <v>47</v>
      </c>
      <c r="AE23" s="5">
        <f>IF(AD23=0,(W23+4*X23+2*Y23+4*Z23+AA23)*AC23/12+W23*AB23/1.5,AD23)</f>
        <v>47</v>
      </c>
      <c r="AF23" s="11">
        <v>15</v>
      </c>
      <c r="AG23" s="11"/>
      <c r="AH23" s="5">
        <f>IF(AC23=0,AE23+AF23*AG23/2,AE23+AC23*AG23/2)</f>
        <v>47</v>
      </c>
      <c r="AI23" s="9"/>
      <c r="AJ23" s="9"/>
      <c r="AK23" s="33">
        <v>38</v>
      </c>
      <c r="AL23" s="5">
        <f>IF(AK23=0,AI23*AJ23/2,AK23)</f>
        <v>38</v>
      </c>
      <c r="AM23" s="32"/>
      <c r="AN23" s="11"/>
      <c r="AO23" s="11"/>
      <c r="AP23" s="5">
        <f>AL23+AI23*(AN23-AO23)/2</f>
        <v>38</v>
      </c>
      <c r="AQ23" s="5">
        <f>0.1*(AE23+AL23)</f>
        <v>8.5</v>
      </c>
      <c r="AR23" s="11">
        <v>16</v>
      </c>
      <c r="AS23" s="11"/>
      <c r="AT23" s="11"/>
      <c r="AU23" s="11"/>
      <c r="AV23" s="33"/>
      <c r="AW23" s="5">
        <f>IF(AV23=0,AS23/6*(AT23+AU23*4),AV23)</f>
        <v>0</v>
      </c>
      <c r="AX23" s="11"/>
      <c r="AY23" s="5">
        <f>IF(AX23&lt;0.149*M23+0.329,1,AX23/(0.149*M23+0.329))</f>
        <v>1</v>
      </c>
      <c r="AZ23" s="5">
        <f>IF(AW23*AY23&gt;AL23,(AW23*AY23-AL23)/4,0)</f>
        <v>0</v>
      </c>
      <c r="BA23" s="12">
        <f>0.401+0.1831*(2*AR23^2/(AH23+AP23+AZ23))-0.02016*(2*AR23^2/(AH23+AP23+AZ23))^2+0.0007472*(2*AR23^2/(AH23+AP23+AZ23))^3</f>
        <v>0.9357462616920009</v>
      </c>
      <c r="BB23" s="9"/>
      <c r="BC23" s="9"/>
      <c r="BD23" s="9"/>
      <c r="BE23" s="9"/>
      <c r="BF23" s="33">
        <v>80</v>
      </c>
      <c r="BG23" s="5">
        <f>IF(BF23=0,(BC23+BD23)*(BB23/12+BE23/3),BF23)</f>
        <v>80</v>
      </c>
      <c r="BH23" s="5">
        <f>IF(BG23*AY23&gt;AL23+AZ23,BG23*AY23-AL23-AZ23,0)</f>
        <v>42</v>
      </c>
      <c r="BI23" s="5">
        <f>IF(M23/1.6&lt;8,ROUND(M23/1.6,0),8)</f>
        <v>7</v>
      </c>
      <c r="BJ23" s="15">
        <f>(AH23+AP23+AZ23)*BA23+0.1*BH23</f>
        <v>83.73843224382009</v>
      </c>
      <c r="BK23" s="11">
        <v>1.95</v>
      </c>
      <c r="BL23" s="5">
        <f>M23*0.2</f>
        <v>2.396</v>
      </c>
      <c r="BM23" s="5">
        <f>ROUNDDOWN(M23/2.13,0)</f>
        <v>5</v>
      </c>
      <c r="BN23" s="12">
        <f>M23/4.26</f>
        <v>2.812206572769953</v>
      </c>
      <c r="BO23" s="5">
        <f>IF(M23&lt;8,1.22,IF(M23&lt;15.2,0.108333*M23+0.353,2))</f>
        <v>1.65082934</v>
      </c>
      <c r="BP23" s="7">
        <f>IF(BK23&lt;BO23,1+0.3*(BO23-BK23)/M23,1)</f>
        <v>1</v>
      </c>
      <c r="BQ23" s="39">
        <v>7</v>
      </c>
      <c r="BR23" s="39">
        <v>2</v>
      </c>
      <c r="BS23" s="36"/>
      <c r="BT23" t="s" s="24">
        <v>154</v>
      </c>
      <c r="BU23" s="36"/>
      <c r="BV23" s="15">
        <f>IF(BQ23&lt;(M23/0.3048)^0.5,1,IF(BU23="x",1-BR23*0.02,IF(BT23="x",1-BR23*0.01,1)))</f>
        <v>0.98</v>
      </c>
      <c r="BW23" s="7">
        <f>IF(K23="x",MIN(1.315,1.28+U23*N23/BJ23/AR23/1100),IF(L23="x",1.28,MAX(1.245,1.28-U23*N23/BJ23/AR23/1100)))</f>
        <v>1.245</v>
      </c>
      <c r="BX23" s="41">
        <f>BW23*T23*BV23*BP23*N23^0.3*BJ23^0.4/V23^0.325</f>
        <v>0.913980409137527</v>
      </c>
      <c r="BY23" s="8"/>
      <c r="BZ23" s="8"/>
      <c r="CA23" t="s" s="31">
        <v>188</v>
      </c>
      <c r="CB23" t="s" s="31">
        <v>245</v>
      </c>
      <c r="CC23" t="s" s="19">
        <v>180</v>
      </c>
      <c r="CD23" s="3"/>
      <c r="CE23" s="3"/>
      <c r="CF23" s="3"/>
      <c r="CG23" t="s" s="30">
        <f>A23</f>
        <v>282</v>
      </c>
    </row>
    <row r="24" ht="12.75" customHeight="1">
      <c r="A24" t="s" s="25">
        <v>283</v>
      </c>
      <c r="B24" t="s" s="19">
        <v>284</v>
      </c>
      <c r="C24" t="s" s="19">
        <v>285</v>
      </c>
      <c r="D24" t="s" s="19">
        <v>286</v>
      </c>
      <c r="E24" t="s" s="19">
        <v>286</v>
      </c>
      <c r="F24" s="3"/>
      <c r="G24" s="3"/>
      <c r="H24" s="32"/>
      <c r="I24" s="32"/>
      <c r="J24" s="36"/>
      <c r="K24" t="s" s="24">
        <v>154</v>
      </c>
      <c r="L24" s="36"/>
      <c r="M24" s="11">
        <v>9.25</v>
      </c>
      <c r="N24" s="5">
        <v>9.119999999999999</v>
      </c>
      <c r="O24" s="11">
        <v>8.51</v>
      </c>
      <c r="P24" s="11"/>
      <c r="Q24" s="37"/>
      <c r="R24" t="s" s="24">
        <v>287</v>
      </c>
      <c r="S24" s="36"/>
      <c r="T24" s="38">
        <f>IF(S24&gt;0,1.048,IF(R24&gt;0,1.048,IF(Q24&gt;0,1.036,0.907+1.55*(P24/N24)-4.449*(P24/N24)^2)))</f>
        <v>1.048</v>
      </c>
      <c r="U24" s="39">
        <v>1200</v>
      </c>
      <c r="V24" s="40">
        <f>IF(H24="x",75+U24,IF(M24&lt;6.66,150+U24,-1.7384*M24^2+92.38*M24-388+U24))</f>
        <v>1517.77315</v>
      </c>
      <c r="W24" s="5">
        <v>4.3</v>
      </c>
      <c r="X24" s="5">
        <v>4.1</v>
      </c>
      <c r="Y24" s="5">
        <v>3.86</v>
      </c>
      <c r="Z24" s="5">
        <v>3.5</v>
      </c>
      <c r="AA24" s="5">
        <v>1</v>
      </c>
      <c r="AB24" s="5"/>
      <c r="AC24" s="5">
        <v>11.9</v>
      </c>
      <c r="AD24" s="33">
        <v>41</v>
      </c>
      <c r="AE24" s="5">
        <f>IF(AD24=0,(W24+4*X24+2*Y24+4*Z24+AA24)*AC24/12+W24*AB24/1.5,AD24)</f>
        <v>41</v>
      </c>
      <c r="AF24" s="11">
        <v>13</v>
      </c>
      <c r="AG24" s="11">
        <v>1</v>
      </c>
      <c r="AH24" s="5">
        <f>IF(AC24=0,AE24+AF24*AG24/2,AE24+AC24*AG24/2)</f>
        <v>46.95</v>
      </c>
      <c r="AI24" s="5">
        <v>10.5</v>
      </c>
      <c r="AJ24" s="5">
        <v>2.88</v>
      </c>
      <c r="AK24" s="33"/>
      <c r="AL24" s="5">
        <f>IF(AK24=0,AI24*AJ24/2,AK24)</f>
        <v>15.12</v>
      </c>
      <c r="AM24" t="s" s="19">
        <v>154</v>
      </c>
      <c r="AN24" s="5"/>
      <c r="AO24" s="5"/>
      <c r="AP24" s="5">
        <f>AL24+AI24*(AN24-AO24)/2</f>
        <v>15.12</v>
      </c>
      <c r="AQ24" s="5">
        <f>0.1*(AE24+AL24)</f>
        <v>5.612</v>
      </c>
      <c r="AR24" s="11">
        <v>13.8</v>
      </c>
      <c r="AS24" s="11"/>
      <c r="AT24" s="11"/>
      <c r="AU24" s="11"/>
      <c r="AV24" s="33"/>
      <c r="AW24" s="5">
        <f>IF(AV24=0,AS24/6*(AT24+AU24*4),AV24)</f>
        <v>0</v>
      </c>
      <c r="AX24" s="11"/>
      <c r="AY24" s="5">
        <f>IF(AX24&lt;0.149*M24+0.329,1,AX24/(0.149*M24+0.329))</f>
        <v>1</v>
      </c>
      <c r="AZ24" s="5">
        <f>IF(AW24*AY24&gt;AL24,(AW24*AY24-AL24)/4,0)</f>
        <v>0</v>
      </c>
      <c r="BA24" s="12">
        <f>0.401+0.1831*(2*AR24^2/(AH24+AP24+AZ24))-0.02016*(2*AR24^2/(AH24+AP24+AZ24))^2+0.0007472*(2*AR24^2/(AH24+AP24+AZ24))^3</f>
        <v>0.9380942995263647</v>
      </c>
      <c r="BB24" s="11"/>
      <c r="BC24" s="11"/>
      <c r="BD24" s="11"/>
      <c r="BE24" s="11"/>
      <c r="BF24" s="33"/>
      <c r="BG24" s="5">
        <f>IF(BF24=0,(BC24+BD24)*(BB24/12+BE24/3),BF24)</f>
        <v>0</v>
      </c>
      <c r="BH24" s="5">
        <f>IF(BG24*AY24&gt;AL24+AZ24,BG24*AY24-AL24-AZ24,0)</f>
        <v>0</v>
      </c>
      <c r="BI24" s="5">
        <f>IF(M24/1.6&lt;8,ROUND(M24/1.6,0),8)</f>
        <v>6</v>
      </c>
      <c r="BJ24" s="5">
        <f>(AH24+AP24+AZ24)*BA24+0.1*BH24</f>
        <v>58.22751317160146</v>
      </c>
      <c r="BK24" s="11">
        <v>1.3</v>
      </c>
      <c r="BL24" s="5">
        <f>M24*0.2</f>
        <v>1.85</v>
      </c>
      <c r="BM24" s="5">
        <f>ROUNDDOWN(M24/2.13,0)</f>
        <v>4</v>
      </c>
      <c r="BN24" s="12">
        <f>M24/4.26</f>
        <v>2.171361502347418</v>
      </c>
      <c r="BO24" s="5">
        <f>IF(M24&lt;8,1.22,IF(M24&lt;15.2,0.108333*M24+0.353,2))</f>
        <v>1.35508025</v>
      </c>
      <c r="BP24" s="12">
        <f>IF(BK24&lt;BO24,1+0.3*(BO24-BK24)/M24,1)</f>
        <v>1.001786386486486</v>
      </c>
      <c r="BQ24" s="32"/>
      <c r="BR24" s="32"/>
      <c r="BS24" t="s" s="24">
        <v>154</v>
      </c>
      <c r="BT24" s="36"/>
      <c r="BU24" s="36"/>
      <c r="BV24" s="5">
        <f>IF(BQ24&lt;(M24/0.3048)^0.5,1,IF(BU24="x",1-BR24*0.02,IF(BT24="x",1-BR24*0.01,1)))</f>
        <v>1</v>
      </c>
      <c r="BW24" s="12">
        <f>IF(K24="x",MIN(1.315,1.28+U24*N24/BJ24/AR24/1100),IF(L24="x",1.28,MAX(1.245,1.28-U24*N24/BJ24/AR24/1100)))</f>
        <v>1.292381580069822</v>
      </c>
      <c r="BX24" s="41">
        <f>BW24*T24*BV24*BP24*N24^0.3*BJ24^0.4/V24^0.325</f>
        <v>1.237897497240333</v>
      </c>
      <c r="BY24" s="29"/>
      <c r="BZ24" s="48"/>
      <c r="CA24" t="s" s="19">
        <v>213</v>
      </c>
      <c r="CB24" t="s" s="19">
        <v>288</v>
      </c>
      <c r="CC24" t="s" s="19">
        <v>180</v>
      </c>
      <c r="CD24" t="s" s="19">
        <v>289</v>
      </c>
      <c r="CE24" s="3"/>
      <c r="CF24" s="3"/>
      <c r="CG24" t="s" s="30">
        <f>A24</f>
        <v>290</v>
      </c>
    </row>
    <row r="25" ht="12.75" customHeight="1">
      <c r="A25" t="s" s="25">
        <v>291</v>
      </c>
      <c r="B25" t="s" s="19">
        <v>292</v>
      </c>
      <c r="C25" t="s" s="19">
        <v>218</v>
      </c>
      <c r="D25" t="s" s="19">
        <v>219</v>
      </c>
      <c r="E25" t="s" s="19">
        <v>293</v>
      </c>
      <c r="F25" s="3"/>
      <c r="G25" s="3"/>
      <c r="H25" s="32"/>
      <c r="I25" s="32"/>
      <c r="J25" t="s" s="24">
        <v>154</v>
      </c>
      <c r="K25" s="36"/>
      <c r="L25" s="36"/>
      <c r="M25" s="11">
        <v>13.1</v>
      </c>
      <c r="N25" s="5">
        <v>13.1</v>
      </c>
      <c r="O25" s="11">
        <v>7.25</v>
      </c>
      <c r="P25" s="11"/>
      <c r="Q25" s="37"/>
      <c r="R25" t="s" s="24">
        <v>294</v>
      </c>
      <c r="S25" s="36"/>
      <c r="T25" s="38">
        <f>IF(S25&gt;0,1.048,IF(R25&gt;0,1.048,IF(Q25&gt;0,1.036,0.907+1.55*(P25/N25)-4.449*(P25/N25)^2)))</f>
        <v>1.048</v>
      </c>
      <c r="U25" s="39">
        <v>10590</v>
      </c>
      <c r="V25" s="40">
        <f>IF(H25="x",75+U25,IF(M25&lt;6.66,150+U25,-1.7384*M25^2+92.38*M25-388+U25))</f>
        <v>11113.851176</v>
      </c>
      <c r="W25" s="5"/>
      <c r="X25" s="5"/>
      <c r="Y25" s="5"/>
      <c r="Z25" s="5"/>
      <c r="AA25" s="5"/>
      <c r="AB25" s="5"/>
      <c r="AC25" s="5">
        <v>15.75</v>
      </c>
      <c r="AD25" s="33">
        <v>64.40000000000001</v>
      </c>
      <c r="AE25" s="5">
        <f>IF(AD25=0,(W25+4*X25+2*Y25+4*Z25+AA25)*AC25/12+W25*AB25/1.5,AD25)</f>
        <v>64.40000000000001</v>
      </c>
      <c r="AF25" s="11">
        <v>17.6</v>
      </c>
      <c r="AG25" s="11"/>
      <c r="AH25" s="5">
        <f>IF(AC25=0,AE25+AF25*AG25/2,AE25+AC25*AG25/2)</f>
        <v>64.40000000000001</v>
      </c>
      <c r="AI25" s="3"/>
      <c r="AJ25" s="3"/>
      <c r="AK25" s="33">
        <v>43.18</v>
      </c>
      <c r="AL25" s="5">
        <f>IF(AK25=0,AI25*AJ25/2,AK25)</f>
        <v>43.18</v>
      </c>
      <c r="AM25" s="3"/>
      <c r="AN25" s="5"/>
      <c r="AO25" s="5"/>
      <c r="AP25" s="5">
        <f>AL25+AI25*(AN25-AO25)/2</f>
        <v>43.18</v>
      </c>
      <c r="AQ25" s="5">
        <f>0.1*(AE25+AL25)</f>
        <v>10.758</v>
      </c>
      <c r="AR25" s="11">
        <v>17.6</v>
      </c>
      <c r="AS25" s="11"/>
      <c r="AT25" s="11"/>
      <c r="AU25" s="11"/>
      <c r="AV25" s="33"/>
      <c r="AW25" s="5">
        <f>IF(AV25=0,AS25/6*(AT25+AU25*4),AV25)</f>
        <v>0</v>
      </c>
      <c r="AX25" s="11">
        <v>0</v>
      </c>
      <c r="AY25" s="5">
        <f>IF(AX25&lt;0.149*M25+0.329,1,AX25/(0.149*M25+0.329))</f>
        <v>1</v>
      </c>
      <c r="AZ25" s="5">
        <f>IF(AW25*AY25&gt;AL25,(AW25*AY25-AL25)/4,0)</f>
        <v>0</v>
      </c>
      <c r="BA25" s="12">
        <f>0.401+0.1831*(2*AR25^2/(AH25+AP25+AZ25))-0.02016*(2*AR25^2/(AH25+AP25+AZ25))^2+0.0007472*(2*AR25^2/(AH25+AP25+AZ25))^3</f>
        <v>0.9295546973901253</v>
      </c>
      <c r="BB25" s="3"/>
      <c r="BC25" s="3"/>
      <c r="BD25" s="3"/>
      <c r="BE25" s="3"/>
      <c r="BF25" s="33">
        <v>122.5</v>
      </c>
      <c r="BG25" s="5">
        <f>IF(BF25=0,(BC25+BD25)*(BB25/12+BE25/3),BF25)</f>
        <v>122.5</v>
      </c>
      <c r="BH25" s="5">
        <f>IF(BG25*AY25&gt;AL25+AZ25,BG25*AY25-AL25-AZ25,0)</f>
        <v>79.31999999999999</v>
      </c>
      <c r="BI25" s="42">
        <f>IF(M25/1.6&lt;8,ROUND(M25/1.6,0),8)</f>
        <v>8</v>
      </c>
      <c r="BJ25" s="5">
        <f>(AH25+AP25+AZ25)*BA25+0.1*BH25</f>
        <v>107.9334943452297</v>
      </c>
      <c r="BK25" s="11">
        <v>2</v>
      </c>
      <c r="BL25" s="5">
        <f>M25*0.2</f>
        <v>2.62</v>
      </c>
      <c r="BM25" s="5">
        <f>ROUNDDOWN(M25/2.13,0)</f>
        <v>6</v>
      </c>
      <c r="BN25" s="12">
        <f>M25/4.26</f>
        <v>3.075117370892019</v>
      </c>
      <c r="BO25" s="5">
        <f>IF(M25&lt;8,1.22,IF(M25&lt;15.2,0.108333*M25+0.353,2))</f>
        <v>1.7721623</v>
      </c>
      <c r="BP25" s="12">
        <f>IF(BK25&lt;BO25,1+0.3*(BO25-BK25)/M25,1)</f>
        <v>1</v>
      </c>
      <c r="BQ25" s="39">
        <v>9.199999999999999</v>
      </c>
      <c r="BR25" s="39">
        <v>2</v>
      </c>
      <c r="BS25" s="36"/>
      <c r="BT25" t="s" s="24">
        <v>154</v>
      </c>
      <c r="BU25" s="36"/>
      <c r="BV25" s="5">
        <f>IF(BQ25&lt;(M25/0.3048)^0.5,1,IF(BU25="x",1-BR25*0.02,IF(BT25="x",1-BR25*0.01,1)))</f>
        <v>0.98</v>
      </c>
      <c r="BW25" s="12">
        <f>IF(K25="x",MIN(1.315,1.28+U25*N25/BJ25/AR25/1100),IF(L25="x",1.28,MAX(1.245,1.28-U25*N25/BJ25/AR25/1100)))</f>
        <v>1.245</v>
      </c>
      <c r="BX25" s="41">
        <f>BW25*T25*BV25*BP25*N25^0.3*BJ25^0.4/V25^0.325</f>
        <v>0.8715546132322403</v>
      </c>
      <c r="BY25" s="29"/>
      <c r="BZ25" s="29"/>
      <c r="CA25" t="s" s="19">
        <v>213</v>
      </c>
      <c r="CB25" t="s" s="19">
        <v>214</v>
      </c>
      <c r="CC25" t="s" s="19">
        <v>295</v>
      </c>
      <c r="CD25" s="3"/>
      <c r="CE25" s="3"/>
      <c r="CF25" s="3"/>
      <c r="CG25" t="s" s="30">
        <f>A25</f>
        <v>296</v>
      </c>
    </row>
    <row r="26" ht="12.75" customHeight="1">
      <c r="A26" t="s" s="25">
        <v>297</v>
      </c>
      <c r="B26" t="s" s="19">
        <v>298</v>
      </c>
      <c r="C26" t="s" s="19">
        <v>258</v>
      </c>
      <c r="D26" s="3"/>
      <c r="E26" t="s" s="19">
        <v>299</v>
      </c>
      <c r="F26" s="3"/>
      <c r="G26" s="3"/>
      <c r="H26" s="32"/>
      <c r="I26" s="32"/>
      <c r="J26" t="s" s="24">
        <v>154</v>
      </c>
      <c r="K26" s="36"/>
      <c r="L26" s="36"/>
      <c r="M26" s="11">
        <v>10.15</v>
      </c>
      <c r="N26" s="5">
        <v>10.15</v>
      </c>
      <c r="O26" s="11"/>
      <c r="P26" s="11"/>
      <c r="Q26" s="37"/>
      <c r="R26" t="s" s="24">
        <v>161</v>
      </c>
      <c r="S26" s="36"/>
      <c r="T26" s="38">
        <f>IF(S26&gt;0,1.048,IF(R26&gt;0,1.048,IF(Q26&gt;0,1.036,0.907+1.55*(P26/N26)-4.449*(P26/N26)^2)))</f>
        <v>1.048</v>
      </c>
      <c r="U26" s="39">
        <v>3190</v>
      </c>
      <c r="V26" s="40">
        <f>IF(H26="x",75+U26,IF(M26&lt;6.66,150+U26,-1.7384*M26^2+92.38*M26-388+U26))</f>
        <v>3560.562686</v>
      </c>
      <c r="W26" s="5">
        <v>3.98</v>
      </c>
      <c r="X26" s="5">
        <v>3.72</v>
      </c>
      <c r="Y26" s="5">
        <v>3.11</v>
      </c>
      <c r="Z26" s="5">
        <v>2.06</v>
      </c>
      <c r="AA26" s="5">
        <v>0.1</v>
      </c>
      <c r="AB26" s="5"/>
      <c r="AC26" s="5">
        <v>11.7</v>
      </c>
      <c r="AD26" s="33"/>
      <c r="AE26" s="5">
        <f>IF(AD26=0,(W26+4*X26+2*Y26+4*Z26+AA26)*AC26/12+W26*AB26/1.5,AD26)</f>
        <v>32.5845</v>
      </c>
      <c r="AF26" s="11"/>
      <c r="AG26" s="11"/>
      <c r="AH26" s="5">
        <f>IF(AC26=0,AE26+AF26*AG26/2,AE26+AC26*AG26/2)</f>
        <v>32.5845</v>
      </c>
      <c r="AI26" s="5">
        <v>9.65</v>
      </c>
      <c r="AJ26" s="5">
        <v>4.78</v>
      </c>
      <c r="AK26" s="33"/>
      <c r="AL26" s="5">
        <f>IF(AK26=0,AI26*AJ26/2,AK26)</f>
        <v>23.0635</v>
      </c>
      <c r="AM26" s="3"/>
      <c r="AN26" s="5"/>
      <c r="AO26" s="5"/>
      <c r="AP26" s="5">
        <f>AL26+AI26*(AN26-AO26)/2</f>
        <v>23.0635</v>
      </c>
      <c r="AQ26" s="5">
        <f>0.1*(AE26+AL26)</f>
        <v>5.5648</v>
      </c>
      <c r="AR26" s="11">
        <v>13</v>
      </c>
      <c r="AS26" s="11"/>
      <c r="AT26" s="11"/>
      <c r="AU26" s="11"/>
      <c r="AV26" s="33"/>
      <c r="AW26" s="5">
        <f>IF(AV26=0,AS26/6*(AT26+AU26*4),AV26)</f>
        <v>0</v>
      </c>
      <c r="AX26" s="11">
        <v>0</v>
      </c>
      <c r="AY26" s="5">
        <f>IF(AX26&lt;0.149*M26+0.329,1,AX26/(0.149*M26+0.329))</f>
        <v>1</v>
      </c>
      <c r="AZ26" s="5">
        <f>IF(AW26*AY26&gt;AL26,(AW26*AY26-AL26)/4,0)</f>
        <v>0</v>
      </c>
      <c r="BA26" s="12">
        <f>0.401+0.1831*(2*AR26^2/(AH26+AP26+AZ26))-0.02016*(2*AR26^2/(AH26+AP26+AZ26))^2+0.0007472*(2*AR26^2/(AH26+AP26+AZ26))^3</f>
        <v>0.936815463884578</v>
      </c>
      <c r="BB26" s="5">
        <v>6.98</v>
      </c>
      <c r="BC26" s="5">
        <v>11.7</v>
      </c>
      <c r="BD26" s="5">
        <v>10.5</v>
      </c>
      <c r="BE26" s="5">
        <v>6.75</v>
      </c>
      <c r="BF26" s="33"/>
      <c r="BG26" s="5">
        <f>IF(BF26=0,(BC26+BD26)*(BB26/12+BE26/3),BF26)</f>
        <v>62.86299999999999</v>
      </c>
      <c r="BH26" s="5">
        <f>IF(BG26*AY26&gt;AL26+AZ26,BG26*AY26-AL26-AZ26,0)</f>
        <v>39.79949999999999</v>
      </c>
      <c r="BI26" s="5">
        <f>IF(M26/1.6&lt;8,ROUND(M26/1.6,0),8)</f>
        <v>6</v>
      </c>
      <c r="BJ26" s="5">
        <f>(AH26+AP26+AZ26)*BA26+0.1*BH26</f>
        <v>56.111856934249</v>
      </c>
      <c r="BK26" s="11">
        <v>1.8</v>
      </c>
      <c r="BL26" s="5">
        <f>M26*0.2</f>
        <v>2.03</v>
      </c>
      <c r="BM26" s="5">
        <f>ROUNDDOWN(M26/2.13,0)</f>
        <v>4</v>
      </c>
      <c r="BN26" s="12">
        <f>M26/4.26</f>
        <v>2.382629107981221</v>
      </c>
      <c r="BO26" s="5">
        <f>IF(M26&lt;8,1.22,IF(M26&lt;15.2,0.108333*M26+0.353,2))</f>
        <v>1.45257995</v>
      </c>
      <c r="BP26" s="12">
        <f>IF(BK26&lt;BO26,1+0.3*(BO26-BK26)/M26,1)</f>
        <v>1</v>
      </c>
      <c r="BQ26" s="39">
        <v>5</v>
      </c>
      <c r="BR26" s="39">
        <v>0</v>
      </c>
      <c r="BS26" t="s" s="24">
        <v>154</v>
      </c>
      <c r="BT26" s="36"/>
      <c r="BU26" s="36"/>
      <c r="BV26" s="5">
        <f>IF(BQ26&lt;(M26/0.3048)^0.5,1,IF(BU26="x",1-BR26*0.02,IF(BT26="x",1-BR26*0.01,1)))</f>
        <v>1</v>
      </c>
      <c r="BW26" s="12">
        <f>IF(K26="x",MIN(1.315,1.28+U26*N26/BJ26/AR26/1100),IF(L26="x",1.28,MAX(1.245,1.28-U26*N26/BJ26/AR26/1100)))</f>
        <v>1.245</v>
      </c>
      <c r="BX26" s="41">
        <f>BW26*T26*BV26*BP26*N26^0.3*BJ26^0.4/V26^0.325</f>
        <v>0.9180128207176753</v>
      </c>
      <c r="BY26" s="29"/>
      <c r="BZ26" s="29"/>
      <c r="CA26" t="s" s="19">
        <v>162</v>
      </c>
      <c r="CB26" t="s" s="19">
        <v>300</v>
      </c>
      <c r="CC26" t="s" s="19">
        <v>224</v>
      </c>
      <c r="CD26" s="3"/>
      <c r="CE26" s="3"/>
      <c r="CF26" s="3"/>
      <c r="CG26" t="s" s="30">
        <f>A26</f>
        <v>301</v>
      </c>
    </row>
    <row r="27" ht="12.75" customHeight="1">
      <c r="A27" t="s" s="25">
        <v>302</v>
      </c>
      <c r="B27" t="s" s="19">
        <v>303</v>
      </c>
      <c r="C27" t="s" s="19">
        <v>304</v>
      </c>
      <c r="D27" t="s" s="19">
        <v>305</v>
      </c>
      <c r="E27" t="s" s="19">
        <v>306</v>
      </c>
      <c r="F27" s="3"/>
      <c r="G27" s="3"/>
      <c r="H27" s="32"/>
      <c r="I27" s="32"/>
      <c r="J27" t="s" s="24">
        <v>154</v>
      </c>
      <c r="K27" s="36"/>
      <c r="L27" s="36"/>
      <c r="M27" s="11">
        <v>14.04</v>
      </c>
      <c r="N27" s="5">
        <v>14.04</v>
      </c>
      <c r="O27" s="11">
        <v>7.39</v>
      </c>
      <c r="P27" s="11">
        <v>1.3</v>
      </c>
      <c r="Q27" s="37"/>
      <c r="R27" s="36"/>
      <c r="S27" s="36"/>
      <c r="T27" s="38">
        <f>IF(S27&gt;0,1.048,IF(R27&gt;0,1.048,IF(Q27&gt;0,1.036,0.907+1.55*(P27/N27)-4.449*(P27/N27)^2)))</f>
        <v>1.012375514403292</v>
      </c>
      <c r="U27" s="39">
        <v>9500</v>
      </c>
      <c r="V27" s="40">
        <f>IF(H27="x",75+U27,IF(M27&lt;6.66,150+U27,-1.7384*M27^2+92.38*M27-388+U27))</f>
        <v>10066.33901056</v>
      </c>
      <c r="W27" s="5"/>
      <c r="X27" s="5"/>
      <c r="Y27" s="5"/>
      <c r="Z27" s="5"/>
      <c r="AA27" s="5"/>
      <c r="AB27" s="5"/>
      <c r="AC27" s="5"/>
      <c r="AD27" s="33">
        <v>72</v>
      </c>
      <c r="AE27" s="5">
        <f>IF(AD27=0,(W27+4*X27+2*Y27+4*Z27+AA27)*AC27/12+W27*AB27/1.5,AD27)</f>
        <v>72</v>
      </c>
      <c r="AF27" s="11"/>
      <c r="AG27" s="11"/>
      <c r="AH27" s="5">
        <f>IF(AC27=0,AE27+AF27*AG27/2,AE27+AC27*AG27/2)</f>
        <v>72</v>
      </c>
      <c r="AI27" s="3"/>
      <c r="AJ27" s="3"/>
      <c r="AK27" s="33">
        <v>51</v>
      </c>
      <c r="AL27" s="5">
        <f>IF(AK27=0,AI27*AJ27/2,AK27)</f>
        <v>51</v>
      </c>
      <c r="AM27" s="3"/>
      <c r="AN27" s="5"/>
      <c r="AO27" s="5"/>
      <c r="AP27" s="5">
        <f>AL27+AI27*(AN27-AO27)/2</f>
        <v>51</v>
      </c>
      <c r="AQ27" s="5">
        <f>0.1*(AE27+AL27)</f>
        <v>12.3</v>
      </c>
      <c r="AR27" s="11">
        <v>20.27</v>
      </c>
      <c r="AS27" s="11"/>
      <c r="AT27" s="11"/>
      <c r="AU27" s="11"/>
      <c r="AV27" s="33"/>
      <c r="AW27" s="5">
        <f>IF(AV27=0,AS27/6*(AT27+AU27*4),AV27)</f>
        <v>0</v>
      </c>
      <c r="AX27" s="11">
        <v>0</v>
      </c>
      <c r="AY27" s="5">
        <f>IF(AX27&lt;0.149*M27+0.329,1,AX27/(0.149*M27+0.329))</f>
        <v>1</v>
      </c>
      <c r="AZ27" s="5">
        <f>IF(AW27*AY27&gt;AL27,(AW27*AY27-AL27)/4,0)</f>
        <v>0</v>
      </c>
      <c r="BA27" s="12">
        <f>0.401+0.1831*(2*AR27^2/(AH27+AP27+AZ27))-0.02016*(2*AR27^2/(AH27+AP27+AZ27))^2+0.0007472*(2*AR27^2/(AH27+AP27+AZ27))^3</f>
        <v>0.9472558786915055</v>
      </c>
      <c r="BB27" s="3"/>
      <c r="BC27" s="3"/>
      <c r="BD27" s="3"/>
      <c r="BE27" s="3"/>
      <c r="BF27" s="33">
        <v>148</v>
      </c>
      <c r="BG27" s="5">
        <f>IF(BF27=0,(BC27+BD27)*(BB27/12+BE27/3),BF27)</f>
        <v>148</v>
      </c>
      <c r="BH27" s="5">
        <f>IF(BG27*AY27&gt;AL27+AZ27,BG27*AY27-AL27-AZ27,0)</f>
        <v>97</v>
      </c>
      <c r="BI27" s="42">
        <f>IF(M27/1.6&lt;8,ROUND(M27/1.6,0),8)</f>
        <v>8</v>
      </c>
      <c r="BJ27" s="5">
        <f>(AH27+AP27+AZ27)*BA27+0.1*BH27</f>
        <v>126.2124730790552</v>
      </c>
      <c r="BK27" s="11">
        <v>2</v>
      </c>
      <c r="BL27" s="5">
        <f>M27*0.2</f>
        <v>2.808</v>
      </c>
      <c r="BM27" s="5">
        <f>ROUNDDOWN(M27/2.13,0)</f>
        <v>6</v>
      </c>
      <c r="BN27" s="12">
        <f>M27/4.26</f>
        <v>3.295774647887324</v>
      </c>
      <c r="BO27" s="5">
        <f>IF(M27&lt;8,1.22,IF(M27&lt;15.2,0.108333*M27+0.353,2))</f>
        <v>1.87399532</v>
      </c>
      <c r="BP27" s="12">
        <f>IF(BK27&lt;BO27,1+0.3*(BO27-BK27)/M27,1)</f>
        <v>1</v>
      </c>
      <c r="BQ27" s="39">
        <v>10</v>
      </c>
      <c r="BR27" s="39">
        <v>2</v>
      </c>
      <c r="BS27" s="36"/>
      <c r="BT27" s="36"/>
      <c r="BU27" t="s" s="24">
        <v>154</v>
      </c>
      <c r="BV27" s="5">
        <f>IF(BQ27&lt;(M27/0.3048)^0.5,1,IF(BU27="x",1-BR27*0.02,IF(BT27="x",1-BR27*0.01,1)))</f>
        <v>0.96</v>
      </c>
      <c r="BW27" s="12">
        <f>IF(K27="x",MIN(1.315,1.28+U27*N27/BJ27/AR27/1100),IF(L27="x",1.28,MAX(1.245,1.28-U27*N27/BJ27/AR27/1100)))</f>
        <v>1.245</v>
      </c>
      <c r="BX27" s="41">
        <f>BW27*T27*BV27*BP27*N27^0.3*BJ27^0.4/V27^0.325</f>
        <v>0.9257633970666894</v>
      </c>
      <c r="BY27" s="29"/>
      <c r="BZ27" s="29"/>
      <c r="CA27" t="s" s="19">
        <v>222</v>
      </c>
      <c r="CB27" t="s" s="19">
        <v>223</v>
      </c>
      <c r="CC27" t="s" s="19">
        <v>164</v>
      </c>
      <c r="CD27" t="s" s="19">
        <v>307</v>
      </c>
      <c r="CE27" s="3"/>
      <c r="CF27" s="3"/>
      <c r="CG27" t="s" s="30">
        <f>A27</f>
        <v>308</v>
      </c>
    </row>
    <row r="28" ht="12.75" customHeight="1">
      <c r="A28" t="s" s="25">
        <v>309</v>
      </c>
      <c r="B28" t="s" s="19">
        <v>310</v>
      </c>
      <c r="C28" t="s" s="19">
        <v>311</v>
      </c>
      <c r="D28" t="s" s="19">
        <v>312</v>
      </c>
      <c r="E28" t="s" s="19">
        <v>309</v>
      </c>
      <c r="F28" s="3"/>
      <c r="G28" s="3"/>
      <c r="H28" s="32"/>
      <c r="I28" s="32"/>
      <c r="J28" t="s" s="24">
        <v>154</v>
      </c>
      <c r="K28" s="36"/>
      <c r="L28" s="36"/>
      <c r="M28" s="11">
        <v>7.99</v>
      </c>
      <c r="N28" s="5">
        <v>7.99</v>
      </c>
      <c r="O28" s="11">
        <v>4.5</v>
      </c>
      <c r="P28" s="11">
        <v>0.6</v>
      </c>
      <c r="Q28" s="37"/>
      <c r="R28" s="36"/>
      <c r="S28" s="36"/>
      <c r="T28" s="38">
        <f>IF(S28&gt;0,1.048,IF(R28&gt;0,1.048,IF(Q28&gt;0,1.036,0.907+1.55*(P28/N28)-4.449*(P28/N28)^2)))</f>
        <v>0.9983071878020241</v>
      </c>
      <c r="U28" s="39">
        <v>1250</v>
      </c>
      <c r="V28" s="40">
        <f>IF(H28="x",75+U28,IF(M28&lt;6.66,150+U28,-1.7384*M28^2+92.38*M28-388+U28))</f>
        <v>1489.13657016</v>
      </c>
      <c r="W28" s="5"/>
      <c r="X28" s="5"/>
      <c r="Y28" s="5"/>
      <c r="Z28" s="5"/>
      <c r="AA28" s="5"/>
      <c r="AB28" s="5"/>
      <c r="AC28" s="5"/>
      <c r="AD28" s="33">
        <v>22</v>
      </c>
      <c r="AE28" s="5">
        <f>IF(AD28=0,(W28+4*X28+2*Y28+4*Z28+AA28)*AC28/12+W28*AB28/1.5,AD28)</f>
        <v>22</v>
      </c>
      <c r="AF28" s="11">
        <v>11</v>
      </c>
      <c r="AG28" s="11"/>
      <c r="AH28" s="5">
        <f>IF(AC28=0,AE28+AF28*AG28/2,AE28+AC28*AG28/2)</f>
        <v>22</v>
      </c>
      <c r="AI28" s="3"/>
      <c r="AJ28" s="3"/>
      <c r="AK28" s="33">
        <v>12</v>
      </c>
      <c r="AL28" s="5">
        <f>IF(AK28=0,AI28*AJ28/2,AK28)</f>
        <v>12</v>
      </c>
      <c r="AM28" s="3"/>
      <c r="AN28" s="5"/>
      <c r="AO28" s="5"/>
      <c r="AP28" s="5">
        <f>AL28+AI28*(AN28-AO28)/2</f>
        <v>12</v>
      </c>
      <c r="AQ28" s="5">
        <f>0.1*(AE28+AL28)</f>
        <v>3.4</v>
      </c>
      <c r="AR28" s="11">
        <v>11.1</v>
      </c>
      <c r="AS28" s="11"/>
      <c r="AT28" s="11"/>
      <c r="AU28" s="11"/>
      <c r="AV28" s="33">
        <v>43</v>
      </c>
      <c r="AW28" s="5">
        <f>IF(AV28=0,AS28/6*(AT28+AU28*4),AV28)</f>
        <v>43</v>
      </c>
      <c r="AX28" s="11">
        <v>0</v>
      </c>
      <c r="AY28" s="5">
        <f>IF(AX28&lt;0.149*M28+0.329,1,AX28/(0.149*M28+0.329))</f>
        <v>1</v>
      </c>
      <c r="AZ28" s="5">
        <f>IF(AW28*AY28&gt;AL28,(AW28*AY28-AL28)/4,0)</f>
        <v>7.75</v>
      </c>
      <c r="BA28" s="12">
        <f>0.401+0.1831*(2*AR28^2/(AH28+AP28+AZ28))-0.02016*(2*AR28^2/(AH28+AP28+AZ28))^2+0.0007472*(2*AR28^2/(AH28+AP28+AZ28))^3</f>
        <v>0.9330324391104167</v>
      </c>
      <c r="BB28" s="3"/>
      <c r="BC28" s="3"/>
      <c r="BD28" s="3"/>
      <c r="BE28" s="3"/>
      <c r="BF28" s="33"/>
      <c r="BG28" s="5">
        <f>IF(BF28=0,(BC28+BD28)*(BB28/12+BE28/3),BF28)</f>
        <v>0</v>
      </c>
      <c r="BH28" s="5">
        <f>IF(BG28*AY28&gt;AL28+AZ28,BG28*AY28-AL28-AZ28,0)</f>
        <v>0</v>
      </c>
      <c r="BI28" s="5">
        <f>IF(M28/1.6&lt;8,ROUND(M28/1.6,0),8)</f>
        <v>5</v>
      </c>
      <c r="BJ28" s="5">
        <f>(AH28+AP28+AZ28)*BA28+0.1*BH28</f>
        <v>38.9541043328599</v>
      </c>
      <c r="BK28" s="11">
        <v>1.8</v>
      </c>
      <c r="BL28" s="5">
        <f>M28*0.2</f>
        <v>1.598</v>
      </c>
      <c r="BM28" s="5">
        <f>ROUNDDOWN(M28/2.13,0)</f>
        <v>3</v>
      </c>
      <c r="BN28" s="12">
        <f>M28/4.26</f>
        <v>1.875586854460094</v>
      </c>
      <c r="BO28" s="5">
        <f>IF(M28&lt;8,1.22,IF(M28&lt;15.2,0.108333*M28+0.353,2))</f>
        <v>1.22</v>
      </c>
      <c r="BP28" s="12">
        <f>IF(BK28&lt;BO28,1+0.3*(BO28-BK28)/M28,1)</f>
        <v>1</v>
      </c>
      <c r="BQ28" s="32"/>
      <c r="BR28" s="39">
        <v>0</v>
      </c>
      <c r="BS28" t="s" s="24">
        <v>154</v>
      </c>
      <c r="BT28" s="36"/>
      <c r="BU28" s="36"/>
      <c r="BV28" s="5">
        <f>IF(BQ28&lt;(M28/0.3048)^0.5,1,IF(BU28="x",1-BR28*0.02,IF(BT28="x",1-BR28*0.01,1)))</f>
        <v>1</v>
      </c>
      <c r="BW28" s="12">
        <f>IF(K28="x",MIN(1.315,1.28+U28*N28/BJ28/AR28/1100),IF(L28="x",1.28,MAX(1.245,1.28-U28*N28/BJ28/AR28/1100)))</f>
        <v>1.259001517760811</v>
      </c>
      <c r="BX28" s="41">
        <f>BW28*T28*BV28*BP28*N28^0.3*BJ28^0.4/V28^0.325</f>
        <v>0.9442175161880353</v>
      </c>
      <c r="BY28" s="29"/>
      <c r="BZ28" s="29"/>
      <c r="CA28" t="s" s="19">
        <v>313</v>
      </c>
      <c r="CB28" t="s" s="19">
        <v>314</v>
      </c>
      <c r="CC28" t="s" s="19">
        <v>164</v>
      </c>
      <c r="CD28" s="3"/>
      <c r="CE28" s="3"/>
      <c r="CF28" s="3"/>
      <c r="CG28" t="s" s="30">
        <f>A28</f>
        <v>315</v>
      </c>
    </row>
    <row r="29" ht="12.75" customHeight="1">
      <c r="A29" t="s" s="25">
        <v>316</v>
      </c>
      <c r="B29" t="s" s="19">
        <v>317</v>
      </c>
      <c r="C29" t="s" s="19">
        <v>318</v>
      </c>
      <c r="D29" t="s" s="19">
        <v>318</v>
      </c>
      <c r="E29" t="s" s="19">
        <v>318</v>
      </c>
      <c r="F29" t="s" s="19">
        <v>319</v>
      </c>
      <c r="G29" t="s" s="19">
        <v>320</v>
      </c>
      <c r="H29" s="32"/>
      <c r="I29" s="32"/>
      <c r="J29" t="s" s="24">
        <v>154</v>
      </c>
      <c r="K29" s="36"/>
      <c r="L29" s="36"/>
      <c r="M29" s="11">
        <v>14.99</v>
      </c>
      <c r="N29" s="5">
        <v>14.92</v>
      </c>
      <c r="O29" s="11">
        <v>8</v>
      </c>
      <c r="P29" s="11">
        <v>1.15</v>
      </c>
      <c r="Q29" s="37"/>
      <c r="R29" s="36"/>
      <c r="S29" s="36"/>
      <c r="T29" s="38">
        <f>IF(S29&gt;0,1.048,IF(R29&gt;0,1.048,IF(Q29&gt;0,1.036,0.907+1.55*(P29/N29)-4.449*(P29/N29)^2)))</f>
        <v>1.000039092766426</v>
      </c>
      <c r="U29" s="39">
        <v>7000</v>
      </c>
      <c r="V29" s="40">
        <f>IF(H29="x",75+U29,IF(M29&lt;6.66,150+U29,-1.7384*M29^2+92.38*M29-388+U29))</f>
        <v>7606.15754616</v>
      </c>
      <c r="W29" s="5"/>
      <c r="X29" s="5"/>
      <c r="Y29" s="5"/>
      <c r="Z29" s="5"/>
      <c r="AA29" s="5"/>
      <c r="AB29" s="5"/>
      <c r="AC29" s="5">
        <v>16.32</v>
      </c>
      <c r="AD29" s="33">
        <v>67.5</v>
      </c>
      <c r="AE29" s="5">
        <f>IF(AD29=0,(W29+4*X29+2*Y29+4*Z29+AA29)*AC29/12+W29*AB29/1.5,AD29)</f>
        <v>67.5</v>
      </c>
      <c r="AF29" s="11">
        <v>17.3</v>
      </c>
      <c r="AG29" s="11">
        <v>1.07</v>
      </c>
      <c r="AH29" s="5">
        <f>IF(AC29=0,AE29+AF29*AG29/2,AE29+AC29*AG29/2)</f>
        <v>76.2312</v>
      </c>
      <c r="AI29" s="5">
        <v>14.64</v>
      </c>
      <c r="AJ29" s="3"/>
      <c r="AK29" s="33">
        <v>32</v>
      </c>
      <c r="AL29" s="5">
        <f>IF(AK29=0,AI29*AJ29/2,AK29)</f>
        <v>32</v>
      </c>
      <c r="AM29" s="3"/>
      <c r="AN29" s="5"/>
      <c r="AO29" s="5">
        <v>0.147</v>
      </c>
      <c r="AP29" s="5">
        <f>AL29+AI29*(AN29-AO29)/2</f>
        <v>30.92396</v>
      </c>
      <c r="AQ29" s="5">
        <f>0.1*(AE29+AL29)</f>
        <v>9.950000000000001</v>
      </c>
      <c r="AR29" s="11">
        <v>18.16</v>
      </c>
      <c r="AS29" s="11"/>
      <c r="AT29" s="11"/>
      <c r="AU29" s="11"/>
      <c r="AV29" s="33">
        <v>80</v>
      </c>
      <c r="AW29" s="5">
        <f>IF(AV29=0,AS29/6*(AT29+AU29*4),AV29)</f>
        <v>80</v>
      </c>
      <c r="AX29" s="11">
        <v>0</v>
      </c>
      <c r="AY29" s="5">
        <f>IF(AX29&lt;0.149*M29+0.329,1,AX29/(0.149*M29+0.329))</f>
        <v>1</v>
      </c>
      <c r="AZ29" s="5">
        <f>IF(AW29*AY29&gt;AL29,(AW29*AY29-AL29)/4,0)</f>
        <v>12</v>
      </c>
      <c r="BA29" s="12">
        <f>0.401+0.1831*(2*AR29^2/(AH29+AP29+AZ29))-0.02016*(2*AR29^2/(AH29+AP29+AZ29))^2+0.0007472*(2*AR29^2/(AH29+AP29+AZ29))^3</f>
        <v>0.9235474073222867</v>
      </c>
      <c r="BB29" s="3"/>
      <c r="BC29" s="3"/>
      <c r="BD29" s="3"/>
      <c r="BE29" s="3"/>
      <c r="BF29" s="33">
        <v>122.82</v>
      </c>
      <c r="BG29" s="5">
        <f>IF(BF29=0,(BC29+BD29)*(BB29/12+BE29/3),BF29)</f>
        <v>122.82</v>
      </c>
      <c r="BH29" s="5">
        <f>IF(BG29*AY29&gt;AL29+AZ29,BG29*AY29-AL29-AZ29,0)</f>
        <v>78.81999999999999</v>
      </c>
      <c r="BI29" s="42">
        <v>5</v>
      </c>
      <c r="BJ29" s="5">
        <f>(AH29+AP29+AZ29)*BA29+0.1*BH29</f>
        <v>117.9274390870722</v>
      </c>
      <c r="BK29" s="11">
        <v>1.9</v>
      </c>
      <c r="BL29" s="5">
        <f>M29*0.2</f>
        <v>2.998</v>
      </c>
      <c r="BM29" s="5">
        <f>ROUNDDOWN(M29/2.13,0)</f>
        <v>7</v>
      </c>
      <c r="BN29" s="12">
        <f>M29/4.26</f>
        <v>3.518779342723005</v>
      </c>
      <c r="BO29" s="5">
        <f>IF(M29&lt;8,1.22,IF(M29&lt;15.2,0.108333*M29+0.353,2))</f>
        <v>1.97691167</v>
      </c>
      <c r="BP29" s="12">
        <f>IF(BK29&lt;BO29,1+0.3*(BO29-BK29)/M29,1)</f>
        <v>1.001539259573049</v>
      </c>
      <c r="BQ29" s="39">
        <v>8</v>
      </c>
      <c r="BR29" s="39">
        <v>2</v>
      </c>
      <c r="BS29" s="36"/>
      <c r="BT29" t="s" s="24">
        <v>154</v>
      </c>
      <c r="BU29" s="36"/>
      <c r="BV29" s="5">
        <f>IF(BQ29&lt;(M29/0.3048)^0.5,1,IF(BU29="x",1-BR29*0.02,IF(BT29="x",1-BR29*0.01,1)))</f>
        <v>0.98</v>
      </c>
      <c r="BW29" s="12">
        <f>IF(K29="x",MIN(1.315,1.28+U29*N29/BJ29/AR29/1100),IF(L29="x",1.28,MAX(1.245,1.28-U29*N29/BJ29/AR29/1100)))</f>
        <v>1.245</v>
      </c>
      <c r="BX29" s="41">
        <f>BW29*T29*BV29*BP29*N29^0.3*BJ29^0.4/V29^0.325</f>
        <v>1.015028528046619</v>
      </c>
      <c r="BY29" s="29"/>
      <c r="BZ29" s="29"/>
      <c r="CA29" t="s" s="19">
        <v>188</v>
      </c>
      <c r="CB29" t="s" s="19">
        <v>321</v>
      </c>
      <c r="CC29" t="s" s="19">
        <v>164</v>
      </c>
      <c r="CD29" t="s" s="19">
        <v>322</v>
      </c>
      <c r="CE29" s="3"/>
      <c r="CF29" s="3"/>
      <c r="CG29" t="s" s="30">
        <f>A29</f>
        <v>323</v>
      </c>
    </row>
    <row r="30" ht="12.75" customHeight="1">
      <c r="A30" t="s" s="25">
        <v>324</v>
      </c>
      <c r="B30" t="s" s="19">
        <v>325</v>
      </c>
      <c r="C30" s="3"/>
      <c r="D30" s="3"/>
      <c r="E30" t="s" s="19">
        <v>326</v>
      </c>
      <c r="F30" s="3"/>
      <c r="G30" s="3"/>
      <c r="H30" s="32"/>
      <c r="I30" s="32"/>
      <c r="J30" s="36"/>
      <c r="K30" t="s" s="24">
        <v>154</v>
      </c>
      <c r="L30" s="36"/>
      <c r="M30" s="11">
        <v>15.24</v>
      </c>
      <c r="N30" s="5">
        <v>15.24</v>
      </c>
      <c r="O30" s="11"/>
      <c r="P30" s="11"/>
      <c r="Q30" s="37"/>
      <c r="R30" t="s" s="24">
        <v>161</v>
      </c>
      <c r="S30" s="36"/>
      <c r="T30" s="38">
        <f>IF(S30&gt;0,1.048,IF(R30&gt;0,1.048,IF(Q30&gt;0,1.036,0.907+1.55*(P30/N30)-4.449*(P30/N30)^2)))</f>
        <v>1.048</v>
      </c>
      <c r="U30" s="39">
        <v>6000</v>
      </c>
      <c r="V30" s="40">
        <f>IF(H30="x",75+U30,IF(M30&lt;6.66,150+U30,-1.7384*M30^2+92.38*M30-388+U30))</f>
        <v>6616.11458816</v>
      </c>
      <c r="W30" s="5"/>
      <c r="X30" s="5"/>
      <c r="Y30" s="5"/>
      <c r="Z30" s="5"/>
      <c r="AA30" s="5"/>
      <c r="AB30" s="5"/>
      <c r="AC30" s="5">
        <v>21</v>
      </c>
      <c r="AD30" s="33">
        <v>110</v>
      </c>
      <c r="AE30" s="5">
        <f>IF(AD30=0,(W30+4*X30+2*Y30+4*Z30+AA30)*AC30/12+W30*AB30/1.5,AD30)</f>
        <v>110</v>
      </c>
      <c r="AF30" s="11">
        <v>21.3</v>
      </c>
      <c r="AG30" s="11"/>
      <c r="AH30" s="5">
        <f>IF(AC30=0,AE30+AF30*AG30/2,AE30+AC30*AG30/2)</f>
        <v>110</v>
      </c>
      <c r="AI30" s="5">
        <v>18.3</v>
      </c>
      <c r="AJ30" s="3"/>
      <c r="AK30" s="33">
        <v>55</v>
      </c>
      <c r="AL30" s="5">
        <f>IF(AK30=0,AI30*AJ30/2,AK30)</f>
        <v>55</v>
      </c>
      <c r="AM30" s="3"/>
      <c r="AN30" s="5"/>
      <c r="AO30" s="5">
        <v>0.15</v>
      </c>
      <c r="AP30" s="5">
        <f>AL30+AI30*(AN30-AO30)/2</f>
        <v>53.6275</v>
      </c>
      <c r="AQ30" s="5">
        <f>0.1*(AE30+AL30)</f>
        <v>16.5</v>
      </c>
      <c r="AR30" s="11">
        <v>21.3</v>
      </c>
      <c r="AS30" s="11"/>
      <c r="AT30" s="11"/>
      <c r="AU30" s="11"/>
      <c r="AV30" s="33">
        <v>100</v>
      </c>
      <c r="AW30" s="5">
        <f>IF(AV30=0,AS30/6*(AT30+AU30*4),AV30)</f>
        <v>100</v>
      </c>
      <c r="AX30" s="11"/>
      <c r="AY30" s="5">
        <f>IF(AX30&lt;0.149*M30+0.329,1,AX30/(0.149*M30+0.329))</f>
        <v>1</v>
      </c>
      <c r="AZ30" s="5">
        <f>IF(AW30*AY30&gt;AL30,(AW30*AY30-AL30)/4,0)</f>
        <v>11.25</v>
      </c>
      <c r="BA30" s="12">
        <f>0.401+0.1831*(2*AR30^2/(AH30+AP30+AZ30))-0.02016*(2*AR30^2/(AH30+AP30+AZ30))^2+0.0007472*(2*AR30^2/(AH30+AP30+AZ30))^3</f>
        <v>0.912668710561847</v>
      </c>
      <c r="BB30" s="3"/>
      <c r="BC30" s="3"/>
      <c r="BD30" s="3"/>
      <c r="BE30" s="3"/>
      <c r="BF30" s="33">
        <v>120</v>
      </c>
      <c r="BG30" s="5">
        <f>IF(BF30=0,(BC30+BD30)*(BB30/12+BE30/3),BF30)</f>
        <v>120</v>
      </c>
      <c r="BH30" s="5">
        <f>IF(BG30*AY30&gt;AL30+AZ30,BG30*AY30-AL30-AZ30,0)</f>
        <v>53.75</v>
      </c>
      <c r="BI30" s="42">
        <f>IF(M30/1.6&lt;8,ROUND(M30/1.6,0),8)</f>
        <v>8</v>
      </c>
      <c r="BJ30" s="5">
        <f>(AH30+AP30+AZ30)*BA30+0.1*BH30</f>
        <v>164.9802224312794</v>
      </c>
      <c r="BK30" s="11">
        <v>2</v>
      </c>
      <c r="BL30" s="5">
        <f>M30*0.2</f>
        <v>3.048</v>
      </c>
      <c r="BM30" s="5">
        <f>ROUNDDOWN(M30/2.13,0)</f>
        <v>7</v>
      </c>
      <c r="BN30" s="12">
        <f>M30/4.26</f>
        <v>3.577464788732394</v>
      </c>
      <c r="BO30" s="5">
        <f>IF(M30&lt;8,1.22,IF(M30&lt;15.2,0.108333*M30+0.353,2))</f>
        <v>2</v>
      </c>
      <c r="BP30" s="12">
        <f>IF(BK30&lt;BO30,1+0.3*(BO30-BK30)/M30,1)</f>
        <v>1</v>
      </c>
      <c r="BQ30" s="39">
        <v>8</v>
      </c>
      <c r="BR30" s="39">
        <v>1</v>
      </c>
      <c r="BS30" s="36"/>
      <c r="BT30" t="s" s="24">
        <v>154</v>
      </c>
      <c r="BU30" s="36"/>
      <c r="BV30" s="5">
        <f>IF(BQ30&lt;(M30/0.3048)^0.5,1,IF(BU30="x",1-BR30*0.02,IF(BT30="x",1-BR30*0.01,1)))</f>
        <v>0.99</v>
      </c>
      <c r="BW30" s="12">
        <f>IF(K30="x",MIN(1.315,1.28+U30*N30/BJ30/AR30/1100),IF(L30="x",1.28,MAX(1.245,1.28-U30*N30/BJ30/AR30/1100)))</f>
        <v>1.303655495203742</v>
      </c>
      <c r="BX30" s="41">
        <f>BW30*T30*BV30*BP30*N30^0.3*BJ30^0.4/V30^0.325</f>
        <v>1.353105252572995</v>
      </c>
      <c r="BY30" s="29"/>
      <c r="BZ30" s="29"/>
      <c r="CA30" t="s" s="19">
        <v>162</v>
      </c>
      <c r="CB30" t="s" s="19">
        <v>327</v>
      </c>
      <c r="CC30" t="s" s="19">
        <v>328</v>
      </c>
      <c r="CD30" t="s" s="19">
        <v>329</v>
      </c>
      <c r="CE30" s="3"/>
      <c r="CF30" s="3"/>
      <c r="CG30" t="s" s="30">
        <f>A30</f>
        <v>330</v>
      </c>
    </row>
    <row r="31" ht="12.75" customHeight="1">
      <c r="A31" t="s" s="25">
        <v>331</v>
      </c>
      <c r="B31" t="s" s="19">
        <v>332</v>
      </c>
      <c r="C31" t="s" s="19">
        <v>333</v>
      </c>
      <c r="D31" t="s" s="19">
        <v>334</v>
      </c>
      <c r="E31" t="s" s="19">
        <v>335</v>
      </c>
      <c r="F31" s="3"/>
      <c r="G31" s="3"/>
      <c r="H31" s="32"/>
      <c r="I31" s="32"/>
      <c r="J31" t="s" s="24">
        <v>154</v>
      </c>
      <c r="K31" s="36"/>
      <c r="L31" s="36"/>
      <c r="M31" s="11">
        <v>14.3</v>
      </c>
      <c r="N31" s="5">
        <v>14.3</v>
      </c>
      <c r="O31" s="11"/>
      <c r="P31" s="11">
        <v>1.2</v>
      </c>
      <c r="Q31" s="37"/>
      <c r="R31" s="36"/>
      <c r="S31" s="36"/>
      <c r="T31" s="38">
        <f>IF(S31&gt;0,1.048,IF(R31&gt;0,1.048,IF(Q31&gt;0,1.036,0.907+1.55*(P31/N31)-4.449*(P31/N31)^2)))</f>
        <v>1.00574047630691</v>
      </c>
      <c r="U31" s="39">
        <v>11000</v>
      </c>
      <c r="V31" s="40">
        <f>IF(H31="x",75+U31,IF(M31&lt;6.66,150+U31,-1.7384*M31^2+92.38*M31-388+U31))</f>
        <v>11577.548584</v>
      </c>
      <c r="W31" s="5"/>
      <c r="X31" s="5"/>
      <c r="Y31" s="5"/>
      <c r="Z31" s="5"/>
      <c r="AA31" s="5"/>
      <c r="AB31" s="5"/>
      <c r="AC31" s="5"/>
      <c r="AD31" s="33">
        <v>81</v>
      </c>
      <c r="AE31" s="5">
        <f>IF(AD31=0,(W31+4*X31+2*Y31+4*Z31+AA31)*AC31/12+W31*AB31/1.5,AD31)</f>
        <v>81</v>
      </c>
      <c r="AF31" s="11">
        <v>17.9</v>
      </c>
      <c r="AG31" s="11"/>
      <c r="AH31" s="5">
        <f>IF(AC31=0,AE31+AF31*AG31/2,AE31+AC31*AG31/2)</f>
        <v>81</v>
      </c>
      <c r="AI31" s="3"/>
      <c r="AJ31" s="3"/>
      <c r="AK31" s="33">
        <v>35</v>
      </c>
      <c r="AL31" s="5">
        <f>IF(AK31=0,AI31*AJ31/2,AK31)</f>
        <v>35</v>
      </c>
      <c r="AM31" s="3"/>
      <c r="AN31" s="5"/>
      <c r="AO31" s="5"/>
      <c r="AP31" s="5">
        <f>AL31+AI31*(AN31-AO31)/2</f>
        <v>35</v>
      </c>
      <c r="AQ31" s="5">
        <f>0.1*(AE31+AL31)</f>
        <v>11.6</v>
      </c>
      <c r="AR31" s="11">
        <v>17.9</v>
      </c>
      <c r="AS31" s="11"/>
      <c r="AT31" s="11"/>
      <c r="AU31" s="11"/>
      <c r="AV31" s="33">
        <v>88</v>
      </c>
      <c r="AW31" s="5">
        <f>IF(AV31=0,AS31/6*(AT31+AU31*4),AV31)</f>
        <v>88</v>
      </c>
      <c r="AX31" s="11">
        <v>1.25</v>
      </c>
      <c r="AY31" s="5">
        <f>IF(AX31&lt;0.149*M31+0.329,1,AX31/(0.149*M31+0.329))</f>
        <v>1</v>
      </c>
      <c r="AZ31" s="5">
        <f>IF(AW31*AY31&gt;AL31,(AW31*AY31-AL31)/4,0)</f>
        <v>13.25</v>
      </c>
      <c r="BA31" s="12">
        <f>0.401+0.1831*(2*AR31^2/(AH31+AP31+AZ31))-0.02016*(2*AR31^2/(AH31+AP31+AZ31))^2+0.0007472*(2*AR31^2/(AH31+AP31+AZ31))^3</f>
        <v>0.9043070288721253</v>
      </c>
      <c r="BB31" s="3"/>
      <c r="BC31" s="3"/>
      <c r="BD31" s="3"/>
      <c r="BE31" s="3"/>
      <c r="BF31" s="33"/>
      <c r="BG31" s="5">
        <f>IF(BF31=0,(BC31+BD31)*(BB31/12+BE31/3),BF31)</f>
        <v>0</v>
      </c>
      <c r="BH31" s="5">
        <f>IF(BG31*AY31&gt;AL31+AZ31,BG31*AY31-AL31-AZ31,0)</f>
        <v>0</v>
      </c>
      <c r="BI31" s="42">
        <f>IF(M31/1.6&lt;8,ROUND(M31/1.6,0),8)</f>
        <v>8</v>
      </c>
      <c r="BJ31" s="5">
        <f>(AH31+AP31+AZ31)*BA31+0.1*BH31</f>
        <v>116.8816834817222</v>
      </c>
      <c r="BK31" s="11">
        <v>1.95</v>
      </c>
      <c r="BL31" s="5">
        <f>M31*0.2</f>
        <v>2.86</v>
      </c>
      <c r="BM31" s="5">
        <f>ROUNDDOWN(M31/2.13,0)</f>
        <v>6</v>
      </c>
      <c r="BN31" s="12">
        <f>M31/4.26</f>
        <v>3.356807511737089</v>
      </c>
      <c r="BO31" s="5">
        <f>IF(M31&lt;8,1.22,IF(M31&lt;15.2,0.108333*M31+0.353,2))</f>
        <v>1.9021619</v>
      </c>
      <c r="BP31" s="12">
        <f>IF(BK31&lt;BO31,1+0.3*(BO31-BK31)/M31,1)</f>
        <v>1</v>
      </c>
      <c r="BQ31" s="39">
        <v>10</v>
      </c>
      <c r="BR31" s="39">
        <v>2</v>
      </c>
      <c r="BS31" s="36"/>
      <c r="BT31" t="s" s="24">
        <v>154</v>
      </c>
      <c r="BU31" s="36"/>
      <c r="BV31" s="5">
        <f>IF(BQ31&lt;(M31/0.3048)^0.5,1,IF(BU31="x",1-BR31*0.02,IF(BT31="x",1-BR31*0.01,1)))</f>
        <v>0.98</v>
      </c>
      <c r="BW31" s="12">
        <f>IF(K31="x",MIN(1.315,1.28+U31*N31/BJ31/AR31/1100),IF(L31="x",1.28,MAX(1.245,1.28-U31*N31/BJ31/AR31/1100)))</f>
        <v>1.245</v>
      </c>
      <c r="BX31" s="41">
        <f>BW31*T31*BV31*BP31*N31^0.3*BJ31^0.4/V31^0.325</f>
        <v>0.8747931053404883</v>
      </c>
      <c r="BY31" s="29"/>
      <c r="BZ31" s="29"/>
      <c r="CA31" t="s" s="19">
        <v>162</v>
      </c>
      <c r="CB31" t="s" s="19">
        <v>163</v>
      </c>
      <c r="CC31" t="s" s="19">
        <v>164</v>
      </c>
      <c r="CD31" s="3"/>
      <c r="CE31" s="3"/>
      <c r="CF31" s="3"/>
      <c r="CG31" t="s" s="30">
        <f>A31</f>
        <v>336</v>
      </c>
    </row>
    <row r="32" ht="12.75" customHeight="1">
      <c r="A32" t="s" s="25">
        <v>337</v>
      </c>
      <c r="B32" t="s" s="19">
        <v>338</v>
      </c>
      <c r="C32" s="3"/>
      <c r="D32" s="3"/>
      <c r="E32" t="s" s="19">
        <v>339</v>
      </c>
      <c r="F32" s="3"/>
      <c r="G32" s="3"/>
      <c r="H32" s="32"/>
      <c r="I32" s="32"/>
      <c r="J32" t="s" s="24">
        <v>154</v>
      </c>
      <c r="K32" s="36"/>
      <c r="L32" s="36"/>
      <c r="M32" s="11">
        <v>8.52</v>
      </c>
      <c r="N32" s="5">
        <v>8.32</v>
      </c>
      <c r="O32" s="11"/>
      <c r="P32" s="11"/>
      <c r="Q32" s="37"/>
      <c r="R32" t="s" s="24">
        <v>161</v>
      </c>
      <c r="S32" s="36"/>
      <c r="T32" s="38">
        <f>IF(S32&gt;0,1.048,IF(R32&gt;0,1.048,IF(Q32&gt;0,1.036,0.907+1.55*(P32/N32)-4.449*(P32/N32)^2)))</f>
        <v>1.048</v>
      </c>
      <c r="U32" s="39">
        <v>880</v>
      </c>
      <c r="V32" s="40">
        <f>IF(H32="x",75+U32,IF(M32&lt;6.66,150+U32,-1.7384*M32^2+92.38*M32-388+U32))</f>
        <v>1152.88644864</v>
      </c>
      <c r="W32" s="5"/>
      <c r="X32" s="5"/>
      <c r="Y32" s="5"/>
      <c r="Z32" s="5"/>
      <c r="AA32" s="5"/>
      <c r="AB32" s="5"/>
      <c r="AC32" s="5">
        <v>13.04</v>
      </c>
      <c r="AD32" s="33">
        <v>38.23</v>
      </c>
      <c r="AE32" s="5">
        <f>IF(AD32=0,(W32+4*X32+2*Y32+4*Z32+AA32)*AC32/12+W32*AB32/1.5,AD32)</f>
        <v>38.23</v>
      </c>
      <c r="AF32" s="11">
        <v>14.6</v>
      </c>
      <c r="AG32" s="11">
        <v>0.48</v>
      </c>
      <c r="AH32" s="5">
        <f>IF(AC32=0,AE32+AF32*AG32/2,AE32+AC32*AG32/2)</f>
        <v>41.35959999999999</v>
      </c>
      <c r="AI32" s="3"/>
      <c r="AJ32" s="3"/>
      <c r="AK32" s="33">
        <v>11.9</v>
      </c>
      <c r="AL32" s="5">
        <f>IF(AK32=0,AI32*AJ32/2,AK32)</f>
        <v>11.9</v>
      </c>
      <c r="AM32" s="3"/>
      <c r="AN32" s="5"/>
      <c r="AO32" s="5"/>
      <c r="AP32" s="5">
        <f>AL32+AI32*(AN32-AO32)/2</f>
        <v>11.9</v>
      </c>
      <c r="AQ32" s="5">
        <f>0.1*(AE32+AL32)</f>
        <v>5.013</v>
      </c>
      <c r="AR32" s="11">
        <v>14.6</v>
      </c>
      <c r="AS32" s="11"/>
      <c r="AT32" s="11"/>
      <c r="AU32" s="11"/>
      <c r="AV32" s="33">
        <v>47.01</v>
      </c>
      <c r="AW32" s="5">
        <f>IF(AV32=0,AS32/6*(AT32+AU32*4),AV32)</f>
        <v>47.01</v>
      </c>
      <c r="AX32" s="11">
        <v>1.6</v>
      </c>
      <c r="AY32" s="5">
        <f>IF(AX32&lt;0.149*M32+0.329,1,AX32/(0.149*M32+0.329))</f>
        <v>1.00095090335819</v>
      </c>
      <c r="AZ32" s="5">
        <f>IF(AW32*AY32&gt;AL32,(AW32*AY32-AL32)/4,0)</f>
        <v>8.788675491717134</v>
      </c>
      <c r="BA32" s="12">
        <f>0.401+0.1831*(2*AR32^2/(AH32+AP32+AZ32))-0.02016*(2*AR32^2/(AH32+AP32+AZ32))^2+0.0007472*(2*AR32^2/(AH32+AP32+AZ32))^3</f>
        <v>0.9496909117231719</v>
      </c>
      <c r="BB32" s="3"/>
      <c r="BC32" s="3"/>
      <c r="BD32" s="3"/>
      <c r="BE32" s="3"/>
      <c r="BF32" s="33"/>
      <c r="BG32" s="5">
        <f>IF(BF32=0,(BC32+BD32)*(BB32/12+BE32/3),BF32)</f>
        <v>0</v>
      </c>
      <c r="BH32" s="5">
        <f>IF(BG32*AY32&gt;AL32+AZ32,BG32*AY32-AL32-AZ32,0)</f>
        <v>0</v>
      </c>
      <c r="BI32" s="5">
        <f>IF(M32/1.6&lt;8,ROUND(M32/1.6,0),8)</f>
        <v>5</v>
      </c>
      <c r="BJ32" s="5">
        <f>(AH32+AP32+AZ32)*BA32+0.1*BH32</f>
        <v>58.92668332257938</v>
      </c>
      <c r="BK32" s="11">
        <v>1.6</v>
      </c>
      <c r="BL32" s="5">
        <f>M32*0.2</f>
        <v>1.704</v>
      </c>
      <c r="BM32" s="5">
        <f>ROUNDDOWN(M32/2.13,0)</f>
        <v>4</v>
      </c>
      <c r="BN32" s="12">
        <f>M32/4.26</f>
        <v>2</v>
      </c>
      <c r="BO32" s="5">
        <f>IF(M32&lt;8,1.22,IF(M32&lt;15.2,0.108333*M32+0.353,2))</f>
        <v>1.27599716</v>
      </c>
      <c r="BP32" s="12">
        <f>IF(BK32&lt;BO32,1+0.3*(BO32-BK32)/M32,1)</f>
        <v>1</v>
      </c>
      <c r="BQ32" s="32"/>
      <c r="BR32" s="39">
        <v>0</v>
      </c>
      <c r="BS32" t="s" s="24">
        <v>154</v>
      </c>
      <c r="BT32" s="36"/>
      <c r="BU32" s="36"/>
      <c r="BV32" s="5">
        <f>IF(BQ32&lt;(M32/0.3048)^0.5,1,IF(BU32="x",1-BR32*0.02,IF(BT32="x",1-BR32*0.01,1)))</f>
        <v>1</v>
      </c>
      <c r="BW32" s="12">
        <f>IF(K32="x",MIN(1.315,1.28+U32*N32/BJ32/AR32/1100),IF(L32="x",1.28,MAX(1.245,1.28-U32*N32/BJ32/AR32/1100)))</f>
        <v>1.272263429990396</v>
      </c>
      <c r="BX32" s="41">
        <f>BW32*T32*BV32*BP32*N32^0.3*BJ32^0.4/V32^0.325</f>
        <v>1.300227957106062</v>
      </c>
      <c r="BY32" s="29"/>
      <c r="BZ32" s="29"/>
      <c r="CA32" t="s" s="19">
        <v>162</v>
      </c>
      <c r="CB32" t="s" s="19">
        <v>300</v>
      </c>
      <c r="CC32" t="s" s="19">
        <v>180</v>
      </c>
      <c r="CD32" t="s" s="19">
        <v>340</v>
      </c>
      <c r="CE32" s="3"/>
      <c r="CF32" s="3"/>
      <c r="CG32" t="s" s="30">
        <f>A32</f>
        <v>341</v>
      </c>
    </row>
    <row r="33" ht="12.75" customHeight="1">
      <c r="A33" t="s" s="25">
        <v>342</v>
      </c>
      <c r="B33" t="s" s="19">
        <v>343</v>
      </c>
      <c r="C33" t="s" s="19">
        <v>344</v>
      </c>
      <c r="D33" t="s" s="19">
        <v>345</v>
      </c>
      <c r="E33" t="s" s="19">
        <v>346</v>
      </c>
      <c r="F33" t="s" s="19">
        <v>347</v>
      </c>
      <c r="G33" t="s" s="19">
        <v>348</v>
      </c>
      <c r="H33" s="32"/>
      <c r="I33" s="32"/>
      <c r="J33" s="36"/>
      <c r="K33" t="s" s="24">
        <v>154</v>
      </c>
      <c r="L33" s="36"/>
      <c r="M33" s="11">
        <v>9.4</v>
      </c>
      <c r="N33" s="5">
        <v>9.33</v>
      </c>
      <c r="O33" s="11">
        <v>6.84</v>
      </c>
      <c r="P33" s="11"/>
      <c r="Q33" s="37"/>
      <c r="R33" t="s" s="24">
        <v>349</v>
      </c>
      <c r="S33" s="36"/>
      <c r="T33" s="38">
        <f>IF(S33&gt;0,1.048,IF(R33&gt;0,1.048,IF(Q33&gt;0,1.036,0.907+1.55*(P33/N33)-4.449*(P33/N33)^2)))</f>
        <v>1.048</v>
      </c>
      <c r="U33" s="39">
        <v>1845</v>
      </c>
      <c r="V33" s="40">
        <f>IF(H33="x",75+U33,IF(M33&lt;6.66,150+U33,-1.7384*M33^2+92.38*M33-388+U33))</f>
        <v>2171.766976</v>
      </c>
      <c r="W33" s="5"/>
      <c r="X33" s="5"/>
      <c r="Y33" s="5"/>
      <c r="Z33" s="5"/>
      <c r="AA33" s="5"/>
      <c r="AB33" s="5"/>
      <c r="AC33" s="5">
        <v>12.36</v>
      </c>
      <c r="AD33" s="33">
        <v>40.27</v>
      </c>
      <c r="AE33" s="5">
        <f>IF(AD33=0,(W33+4*X33+2*Y33+4*Z33+AA33)*AC33/12+W33*AB33/1.5,AD33)</f>
        <v>40.27</v>
      </c>
      <c r="AF33" s="11">
        <v>12.95</v>
      </c>
      <c r="AG33" s="11">
        <v>0.48</v>
      </c>
      <c r="AH33" s="5">
        <f>IF(AC33=0,AE33+AF33*AG33/2,AE33+AC33*AG33/2)</f>
        <v>43.2364</v>
      </c>
      <c r="AI33" s="5">
        <v>11.09</v>
      </c>
      <c r="AJ33" s="3"/>
      <c r="AK33" s="33">
        <v>21.13</v>
      </c>
      <c r="AL33" s="5">
        <f>IF(AK33=0,AI33*AJ33/2,AK33)</f>
        <v>21.13</v>
      </c>
      <c r="AM33" s="3"/>
      <c r="AN33" s="5">
        <v>0.08</v>
      </c>
      <c r="AO33" s="5"/>
      <c r="AP33" s="5">
        <f>AL33+AI33*(AN33-AO33)/2</f>
        <v>21.5736</v>
      </c>
      <c r="AQ33" s="5">
        <f>0.1*(AE33+AL33)</f>
        <v>6.140000000000001</v>
      </c>
      <c r="AR33" s="11">
        <v>13.26</v>
      </c>
      <c r="AS33" s="11"/>
      <c r="AT33" s="11"/>
      <c r="AU33" s="11"/>
      <c r="AV33" s="33">
        <v>43.47</v>
      </c>
      <c r="AW33" s="5">
        <f>IF(AV33=0,AS33/6*(AT33+AU33*4),AV33)</f>
        <v>43.47</v>
      </c>
      <c r="AX33" s="11">
        <v>2.01</v>
      </c>
      <c r="AY33" s="5">
        <f>IF(AX33&lt;0.149*M33+0.329,1,AX33/(0.149*M33+0.329))</f>
        <v>1.162118408880666</v>
      </c>
      <c r="AZ33" s="5">
        <f>IF(AW33*AY33&gt;AL33,(AW33*AY33-AL33)/4,0)</f>
        <v>7.346821808510637</v>
      </c>
      <c r="BA33" s="12">
        <f>0.401+0.1831*(2*AR33^2/(AH33+AP33+AZ33))-0.02016*(2*AR33^2/(AH33+AP33+AZ33))^2+0.0007472*(2*AR33^2/(AH33+AP33+AZ33))^3</f>
        <v>0.9010058339214201</v>
      </c>
      <c r="BB33" s="3"/>
      <c r="BC33" s="3"/>
      <c r="BD33" s="3"/>
      <c r="BE33" s="3"/>
      <c r="BF33" s="33">
        <v>97.05</v>
      </c>
      <c r="BG33" s="5">
        <f>IF(BF33=0,(BC33+BD33)*(BB33/12+BE33/3),BF33)</f>
        <v>97.05</v>
      </c>
      <c r="BH33" s="5">
        <f>IF(BG33*AY33&gt;AL33+AZ33,BG33*AY33-AL33-AZ33,0)</f>
        <v>84.306769773358</v>
      </c>
      <c r="BI33" s="5">
        <f>IF(M33/1.6&lt;8,ROUND(M33/1.6,0),8)</f>
        <v>6</v>
      </c>
      <c r="BJ33" s="5">
        <f>(AH33+AP33+AZ33)*BA33+0.1*BH33</f>
        <v>73.44439438403225</v>
      </c>
      <c r="BK33" s="11">
        <v>1.8</v>
      </c>
      <c r="BL33" s="5">
        <f>M33*0.2</f>
        <v>1.88</v>
      </c>
      <c r="BM33" s="5">
        <f>ROUNDDOWN(M33/2.13,0)</f>
        <v>4</v>
      </c>
      <c r="BN33" s="12">
        <f>M33/4.26</f>
        <v>2.206572769953052</v>
      </c>
      <c r="BO33" s="5">
        <f>IF(M33&lt;8,1.22,IF(M33&lt;15.2,0.108333*M33+0.353,2))</f>
        <v>1.3713302</v>
      </c>
      <c r="BP33" s="12">
        <f>IF(BK33&lt;BO33,1+0.3*(BO33-BK33)/M33,1)</f>
        <v>1</v>
      </c>
      <c r="BQ33" s="39">
        <v>6.5</v>
      </c>
      <c r="BR33" s="39">
        <v>1</v>
      </c>
      <c r="BS33" t="s" s="24">
        <v>154</v>
      </c>
      <c r="BT33" s="36"/>
      <c r="BU33" s="36"/>
      <c r="BV33" s="5">
        <f>IF(BQ33&lt;(M33/0.3048)^0.5,1,IF(BU33="x",1-BR33*0.02,IF(BT33="x",1-BR33*0.01,1)))</f>
        <v>1</v>
      </c>
      <c r="BW33" s="12">
        <f>IF(K33="x",MIN(1.315,1.28+U33*N33/BJ33/AR33/1100),IF(L33="x",1.28,MAX(1.245,1.28-U33*N33/BJ33/AR33/1100)))</f>
        <v>1.296068789108714</v>
      </c>
      <c r="BX33" s="41">
        <f>BW33*T33*BV33*BP33*N33^0.3*BJ33^0.4/V33^0.325</f>
        <v>1.218633160657953</v>
      </c>
      <c r="BY33" s="29"/>
      <c r="BZ33" s="29"/>
      <c r="CA33" t="s" s="19">
        <v>346</v>
      </c>
      <c r="CB33" t="s" s="19">
        <v>350</v>
      </c>
      <c r="CC33" t="s" s="19">
        <v>351</v>
      </c>
      <c r="CD33" s="3"/>
      <c r="CE33" s="3"/>
      <c r="CF33" s="3"/>
      <c r="CG33" t="s" s="30">
        <f>A33</f>
        <v>352</v>
      </c>
    </row>
    <row r="34" ht="12.75" customHeight="1">
      <c r="A34" t="s" s="25">
        <v>353</v>
      </c>
      <c r="B34" t="s" s="19">
        <v>325</v>
      </c>
      <c r="C34" t="s" s="19">
        <v>354</v>
      </c>
      <c r="D34" t="s" s="19">
        <v>355</v>
      </c>
      <c r="E34" t="s" s="19">
        <v>355</v>
      </c>
      <c r="F34" s="3"/>
      <c r="G34" s="3"/>
      <c r="H34" s="32"/>
      <c r="I34" s="32"/>
      <c r="J34" s="36"/>
      <c r="K34" t="s" s="24">
        <v>154</v>
      </c>
      <c r="L34" s="36"/>
      <c r="M34" s="11">
        <v>15.24</v>
      </c>
      <c r="N34" s="5">
        <v>15.24</v>
      </c>
      <c r="O34" s="11">
        <v>13.85</v>
      </c>
      <c r="P34" s="11"/>
      <c r="Q34" s="37"/>
      <c r="R34" t="s" s="24">
        <v>356</v>
      </c>
      <c r="S34" s="36"/>
      <c r="T34" s="38">
        <f>IF(S34&gt;0,1.048,IF(R34&gt;0,1.048,IF(Q34&gt;0,1.036,0.907+1.55*(P34/N34)-4.449*(P34/N34)^2)))</f>
        <v>1.048</v>
      </c>
      <c r="U34" s="39">
        <v>3500</v>
      </c>
      <c r="V34" s="40">
        <f>IF(H34="x",75+U34,IF(M34&lt;6.66,150+U34,-1.7384*M34^2+92.38*M34-388+U34))</f>
        <v>4116.11458816</v>
      </c>
      <c r="W34" s="5"/>
      <c r="X34" s="5"/>
      <c r="Y34" s="5"/>
      <c r="Z34" s="5"/>
      <c r="AA34" s="5"/>
      <c r="AB34" s="5"/>
      <c r="AC34" s="5"/>
      <c r="AD34" s="33">
        <v>85</v>
      </c>
      <c r="AE34" s="5">
        <f>IF(AD34=0,(W34+4*X34+2*Y34+4*Z34+AA34)*AC34/12+W34*AB34/1.5,AD34)</f>
        <v>85</v>
      </c>
      <c r="AF34" s="11">
        <v>19</v>
      </c>
      <c r="AG34" s="11"/>
      <c r="AH34" s="5">
        <f>IF(AC34=0,AE34+AF34*AG34/2,AE34+AC34*AG34/2)</f>
        <v>85</v>
      </c>
      <c r="AI34" s="3"/>
      <c r="AJ34" s="3"/>
      <c r="AK34" s="33">
        <v>40</v>
      </c>
      <c r="AL34" s="5">
        <f>IF(AK34=0,AI34*AJ34/2,AK34)</f>
        <v>40</v>
      </c>
      <c r="AM34" s="3"/>
      <c r="AN34" s="5"/>
      <c r="AO34" s="5"/>
      <c r="AP34" s="5">
        <f>AL34+AI34*(AN34-AO34)/2</f>
        <v>40</v>
      </c>
      <c r="AQ34" s="5">
        <f>0.1*(AE34+AL34)</f>
        <v>12.5</v>
      </c>
      <c r="AR34" s="11">
        <v>19</v>
      </c>
      <c r="AS34" s="11"/>
      <c r="AT34" s="11"/>
      <c r="AU34" s="11"/>
      <c r="AV34" s="33"/>
      <c r="AW34" s="5">
        <f>IF(AV34=0,AS34/6*(AT34+AU34*4),AV34)</f>
        <v>0</v>
      </c>
      <c r="AX34" s="11"/>
      <c r="AY34" s="5">
        <f>IF(AX34&lt;0.149*M34+0.329,1,AX34/(0.149*M34+0.329))</f>
        <v>1</v>
      </c>
      <c r="AZ34" s="5">
        <f>IF(AW34*AY34&gt;AL34,(AW34*AY34-AL34)/4,0)</f>
        <v>0</v>
      </c>
      <c r="BA34" s="12">
        <f>0.401+0.1831*(2*AR34^2/(AH34+AP34+AZ34))-0.02016*(2*AR34^2/(AH34+AP34+AZ34))^2+0.0007472*(2*AR34^2/(AH34+AP34+AZ34))^3</f>
        <v>0.9299895184719873</v>
      </c>
      <c r="BB34" s="3"/>
      <c r="BC34" s="3"/>
      <c r="BD34" s="3"/>
      <c r="BE34" s="3"/>
      <c r="BF34" s="33">
        <v>120</v>
      </c>
      <c r="BG34" s="5">
        <f>IF(BF34=0,(BC34+BD34)*(BB34/12+BE34/3),BF34)</f>
        <v>120</v>
      </c>
      <c r="BH34" s="5">
        <f>IF(BG34*AY34&gt;AL34+AZ34,BG34*AY34-AL34-AZ34,0)</f>
        <v>80</v>
      </c>
      <c r="BI34" s="42">
        <f>IF(M34/1.6&lt;8,ROUND(M34/1.6,0),8)</f>
        <v>8</v>
      </c>
      <c r="BJ34" s="5">
        <f>(AH34+AP34+AZ34)*BA34+0.1*BH34</f>
        <v>124.2486898089984</v>
      </c>
      <c r="BK34" s="11">
        <v>1.5</v>
      </c>
      <c r="BL34" s="5">
        <f>M34*0.2</f>
        <v>3.048</v>
      </c>
      <c r="BM34" s="5">
        <f>ROUNDDOWN(M34/2.13,0)</f>
        <v>7</v>
      </c>
      <c r="BN34" s="12">
        <f>M34/4.26</f>
        <v>3.577464788732394</v>
      </c>
      <c r="BO34" s="5">
        <f>IF(M34&lt;8,1.22,IF(M34&lt;15.2,0.108333*M34+0.353,2))</f>
        <v>2</v>
      </c>
      <c r="BP34" s="12">
        <f>IF(BK34&lt;BO34,1+0.3*(BO34-BK34)/M34,1)</f>
        <v>1.009842519685039</v>
      </c>
      <c r="BQ34" s="39">
        <v>8</v>
      </c>
      <c r="BR34" s="39">
        <v>1</v>
      </c>
      <c r="BS34" s="36"/>
      <c r="BT34" t="s" s="24">
        <v>154</v>
      </c>
      <c r="BU34" s="36"/>
      <c r="BV34" s="5">
        <f>IF(BQ34&lt;(M34/0.3048)^0.5,1,IF(BU34="x",1-BR34*0.02,IF(BT34="x",1-BR34*0.01,1)))</f>
        <v>0.99</v>
      </c>
      <c r="BW34" s="12">
        <f>IF(K34="x",MIN(1.315,1.28+U34*N34/BJ34/AR34/1100),IF(L34="x",1.28,MAX(1.245,1.28-U34*N34/BJ34/AR34/1100)))</f>
        <v>1.300540684283844</v>
      </c>
      <c r="BX34" s="41">
        <f>BW34*T34*BV34*BP34*N34^0.3*BJ34^0.4/V34^0.325</f>
        <v>1.419965741289924</v>
      </c>
      <c r="BY34" s="29"/>
      <c r="BZ34" s="29"/>
      <c r="CA34" t="s" s="19">
        <v>213</v>
      </c>
      <c r="CB34" t="s" s="19">
        <v>357</v>
      </c>
      <c r="CC34" t="s" s="19">
        <v>164</v>
      </c>
      <c r="CD34" s="3"/>
      <c r="CE34" s="3"/>
      <c r="CF34" s="3"/>
      <c r="CG34" t="s" s="30">
        <f>A34</f>
        <v>358</v>
      </c>
    </row>
    <row r="35" ht="12.75" customHeight="1">
      <c r="A35" t="s" s="25">
        <v>359</v>
      </c>
      <c r="B35" t="s" s="19">
        <v>360</v>
      </c>
      <c r="C35" t="s" s="19">
        <v>361</v>
      </c>
      <c r="D35" t="s" s="19">
        <v>362</v>
      </c>
      <c r="E35" t="s" s="19">
        <v>363</v>
      </c>
      <c r="F35" s="3"/>
      <c r="G35" s="3"/>
      <c r="H35" s="32"/>
      <c r="I35" s="32"/>
      <c r="J35" s="36"/>
      <c r="K35" t="s" s="24">
        <v>154</v>
      </c>
      <c r="L35" s="36"/>
      <c r="M35" s="11">
        <v>9</v>
      </c>
      <c r="N35" s="5">
        <v>9</v>
      </c>
      <c r="O35" s="11">
        <v>9.15</v>
      </c>
      <c r="P35" s="11"/>
      <c r="Q35" s="37"/>
      <c r="R35" t="s" s="24">
        <v>364</v>
      </c>
      <c r="S35" s="36"/>
      <c r="T35" s="38">
        <f>IF(S35&gt;0,1.048,IF(R35&gt;0,1.048,IF(Q35&gt;0,1.036,0.907+1.55*(P35/N35)-4.449*(P35/N35)^2)))</f>
        <v>1.048</v>
      </c>
      <c r="U35" s="39">
        <v>950</v>
      </c>
      <c r="V35" s="40">
        <f>IF(H35="x",75+U35,IF(M35&lt;6.66,150+U35,-1.7384*M35^2+92.38*M35-388+U35))</f>
        <v>1252.6096</v>
      </c>
      <c r="W35" s="5"/>
      <c r="X35" s="5"/>
      <c r="Y35" s="5"/>
      <c r="Z35" s="5"/>
      <c r="AA35" s="5"/>
      <c r="AB35" s="5"/>
      <c r="AC35" s="5"/>
      <c r="AD35" s="33">
        <v>41</v>
      </c>
      <c r="AE35" s="5">
        <f>IF(AD35=0,(W35+4*X35+2*Y35+4*Z35+AA35)*AC35/12+W35*AB35/1.5,AD35)</f>
        <v>41</v>
      </c>
      <c r="AF35" s="11">
        <v>15.2</v>
      </c>
      <c r="AG35" s="11">
        <v>0.6</v>
      </c>
      <c r="AH35" s="5">
        <f>IF(AC35=0,AE35+AF35*AG35/2,AE35+AC35*AG35/2)</f>
        <v>45.56</v>
      </c>
      <c r="AI35" s="3"/>
      <c r="AJ35" s="3"/>
      <c r="AK35" s="33">
        <v>19</v>
      </c>
      <c r="AL35" s="5">
        <f>IF(AK35=0,AI35*AJ35/2,AK35)</f>
        <v>19</v>
      </c>
      <c r="AM35" s="3"/>
      <c r="AN35" s="5"/>
      <c r="AO35" s="5"/>
      <c r="AP35" s="5">
        <f>AL35+AI35*(AN35-AO35)/2</f>
        <v>19</v>
      </c>
      <c r="AQ35" s="5">
        <f>0.1*(AE35+AL35)</f>
        <v>6</v>
      </c>
      <c r="AR35" s="11">
        <v>15.2</v>
      </c>
      <c r="AS35" s="11"/>
      <c r="AT35" s="11"/>
      <c r="AU35" s="11"/>
      <c r="AV35" s="33">
        <v>77</v>
      </c>
      <c r="AW35" s="5">
        <f>IF(AV35=0,AS35/6*(AT35+AU35*4),AV35)</f>
        <v>77</v>
      </c>
      <c r="AX35" s="11">
        <v>1.75</v>
      </c>
      <c r="AY35" s="5">
        <f>IF(AX35&lt;0.149*M35+0.329,1,AX35/(0.149*M35+0.329))</f>
        <v>1.047904191616767</v>
      </c>
      <c r="AZ35" s="5">
        <f>IF(AW35*AY35&gt;AL35,(AW35*AY35-AL35)/4,0)</f>
        <v>15.42215568862276</v>
      </c>
      <c r="BA35" s="12">
        <f>0.401+0.1831*(2*AR35^2/(AH35+AP35+AZ35))-0.02016*(2*AR35^2/(AH35+AP35+AZ35))^2+0.0007472*(2*AR35^2/(AH35+AP35+AZ35))^3</f>
        <v>0.9300217179398432</v>
      </c>
      <c r="BB35" s="3"/>
      <c r="BC35" s="3"/>
      <c r="BD35" s="3"/>
      <c r="BE35" s="3"/>
      <c r="BF35" s="33"/>
      <c r="BG35" s="5">
        <f>IF(BF35=0,(BC35+BD35)*(BB35/12+BE35/3),BF35)</f>
        <v>0</v>
      </c>
      <c r="BH35" s="5">
        <f>IF(BG35*AY35&gt;AL35+AZ35,BG35*AY35-AL35-AZ35,0)</f>
        <v>0</v>
      </c>
      <c r="BI35" s="5">
        <f>IF(M35/1.6&lt;8,ROUND(M35/1.6,0),8)</f>
        <v>6</v>
      </c>
      <c r="BJ35" s="5">
        <f>(AH35+AP35+AZ35)*BA35+0.1*BH35</f>
        <v>74.38514183806494</v>
      </c>
      <c r="BK35" s="11">
        <v>1.9</v>
      </c>
      <c r="BL35" s="5">
        <f>M35*0.2</f>
        <v>1.8</v>
      </c>
      <c r="BM35" s="5">
        <f>ROUNDDOWN(M35/2.13,0)</f>
        <v>4</v>
      </c>
      <c r="BN35" s="12">
        <f>M35/4.26</f>
        <v>2.112676056338028</v>
      </c>
      <c r="BO35" s="5">
        <f>IF(M35&lt;8,1.22,IF(M35&lt;15.2,0.108333*M35+0.353,2))</f>
        <v>1.327997</v>
      </c>
      <c r="BP35" s="12">
        <f>IF(BK35&lt;BO35,1+0.3*(BO35-BK35)/M35,1)</f>
        <v>1</v>
      </c>
      <c r="BQ35" s="39">
        <v>8</v>
      </c>
      <c r="BR35" s="32"/>
      <c r="BS35" t="s" s="24">
        <v>154</v>
      </c>
      <c r="BT35" s="36"/>
      <c r="BU35" s="36"/>
      <c r="BV35" s="5">
        <f>IF(BQ35&lt;(M35/0.3048)^0.5,1,IF(BU35="x",1-BR35*0.02,IF(BT35="x",1-BR35*0.01,1)))</f>
        <v>1</v>
      </c>
      <c r="BW35" s="12">
        <f>IF(K35="x",MIN(1.315,1.28+U35*N35/BJ35/AR35/1100),IF(L35="x",1.28,MAX(1.245,1.28-U35*N35/BJ35/AR35/1100)))</f>
        <v>1.286874540045603</v>
      </c>
      <c r="BX35" s="41">
        <f>BW35*T35*BV35*BP35*N35^0.3*BJ35^0.4/V35^0.325</f>
        <v>1.438714459003088</v>
      </c>
      <c r="BY35" s="29"/>
      <c r="BZ35" s="29"/>
      <c r="CA35" t="s" s="19">
        <v>188</v>
      </c>
      <c r="CB35" s="47">
        <v>39251</v>
      </c>
      <c r="CC35" t="s" s="19">
        <v>180</v>
      </c>
      <c r="CD35" s="3"/>
      <c r="CE35" s="3"/>
      <c r="CF35" s="3"/>
      <c r="CG35" t="s" s="30">
        <f>A35</f>
        <v>365</v>
      </c>
    </row>
    <row r="36" ht="12.75" customHeight="1">
      <c r="A36" t="s" s="25">
        <v>366</v>
      </c>
      <c r="B36" t="s" s="19">
        <v>366</v>
      </c>
      <c r="C36" t="s" s="19">
        <v>367</v>
      </c>
      <c r="D36" t="s" s="19">
        <v>368</v>
      </c>
      <c r="E36" t="s" s="19">
        <v>369</v>
      </c>
      <c r="F36" s="3"/>
      <c r="G36" s="3"/>
      <c r="H36" s="32"/>
      <c r="I36" s="32"/>
      <c r="J36" t="s" s="24">
        <v>154</v>
      </c>
      <c r="K36" s="36"/>
      <c r="L36" s="36"/>
      <c r="M36" s="11">
        <v>6.99</v>
      </c>
      <c r="N36" s="5">
        <v>6.99</v>
      </c>
      <c r="O36" s="11">
        <v>4.2</v>
      </c>
      <c r="P36" s="11">
        <v>0.58</v>
      </c>
      <c r="Q36" s="37"/>
      <c r="R36" s="36"/>
      <c r="S36" s="36"/>
      <c r="T36" s="38">
        <f>IF(S36&gt;0,1.048,IF(R36&gt;0,1.048,IF(Q36&gt;0,1.036,0.907+1.55*(P36/N36)-4.449*(P36/N36)^2)))</f>
        <v>1.004981101143878</v>
      </c>
      <c r="U36" s="39">
        <v>750</v>
      </c>
      <c r="V36" s="40">
        <f>IF(H36="x",75+U36,IF(M36&lt;6.66,150+U36,-1.7384*M36^2+92.38*M36-388+U36))</f>
        <v>922.7978021599999</v>
      </c>
      <c r="W36" s="5"/>
      <c r="X36" s="5"/>
      <c r="Y36" s="5"/>
      <c r="Z36" s="5"/>
      <c r="AA36" s="5"/>
      <c r="AB36" s="5"/>
      <c r="AC36" s="5">
        <v>8.9</v>
      </c>
      <c r="AD36" s="33">
        <v>21</v>
      </c>
      <c r="AE36" s="5">
        <f>IF(AD36=0,(W36+4*X36+2*Y36+4*Z36+AA36)*AC36/12+W36*AB36/1.5,AD36)</f>
        <v>21</v>
      </c>
      <c r="AF36" s="11">
        <v>9.800000000000001</v>
      </c>
      <c r="AG36" s="11"/>
      <c r="AH36" s="5">
        <f>IF(AC36=0,AE36+AF36*AG36/2,AE36+AC36*AG36/2)</f>
        <v>21</v>
      </c>
      <c r="AI36" s="3"/>
      <c r="AJ36" s="3"/>
      <c r="AK36" s="33">
        <v>8</v>
      </c>
      <c r="AL36" s="5">
        <f>IF(AK36=0,AI36*AJ36/2,AK36)</f>
        <v>8</v>
      </c>
      <c r="AM36" s="3"/>
      <c r="AN36" s="5"/>
      <c r="AO36" s="5"/>
      <c r="AP36" s="5">
        <f>AL36+AI36*(AN36-AO36)/2</f>
        <v>8</v>
      </c>
      <c r="AQ36" s="5">
        <f>0.1*(AE36+AL36)</f>
        <v>2.9</v>
      </c>
      <c r="AR36" s="11">
        <v>9.57</v>
      </c>
      <c r="AS36" s="11"/>
      <c r="AT36" s="11"/>
      <c r="AU36" s="11"/>
      <c r="AV36" s="33">
        <v>26</v>
      </c>
      <c r="AW36" s="5">
        <f>IF(AV36=0,AS36/6*(AT36+AU36*4),AV36)</f>
        <v>26</v>
      </c>
      <c r="AX36" s="11">
        <v>0.8</v>
      </c>
      <c r="AY36" s="5">
        <f>IF(AX36&lt;0.149*M36+0.329,1,AX36/(0.149*M36+0.329))</f>
        <v>1</v>
      </c>
      <c r="AZ36" s="5">
        <f>IF(AW36*AY36&gt;AL36,(AW36*AY36-AL36)/4,0)</f>
        <v>4.5</v>
      </c>
      <c r="BA36" s="12">
        <f>0.401+0.1831*(2*AR36^2/(AH36+AP36+AZ36))-0.02016*(2*AR36^2/(AH36+AP36+AZ36))^2+0.0007472*(2*AR36^2/(AH36+AP36+AZ36))^3</f>
        <v>0.9215773490183273</v>
      </c>
      <c r="BB36" s="3"/>
      <c r="BC36" s="3"/>
      <c r="BD36" s="3"/>
      <c r="BE36" s="3"/>
      <c r="BF36" s="33"/>
      <c r="BG36" s="5">
        <f>IF(BF36=0,(BC36+BD36)*(BB36/12+BE36/3),BF36)</f>
        <v>0</v>
      </c>
      <c r="BH36" s="5">
        <f>IF(BG36*AY36&gt;AL36+AZ36,BG36*AY36-AL36-AZ36,0)</f>
        <v>0</v>
      </c>
      <c r="BI36" s="5">
        <f>IF(M36/1.6&lt;8,ROUND(M36/1.6,0),8)</f>
        <v>4</v>
      </c>
      <c r="BJ36" s="5">
        <f>(AH36+AP36+AZ36)*BA36+0.1*BH36</f>
        <v>30.87284119211397</v>
      </c>
      <c r="BK36" s="11">
        <v>1.22</v>
      </c>
      <c r="BL36" s="5">
        <f>M36*0.2</f>
        <v>1.398</v>
      </c>
      <c r="BM36" s="5">
        <f>ROUNDDOWN(M36/2.13,0)</f>
        <v>3</v>
      </c>
      <c r="BN36" s="12">
        <f>M36/4.26</f>
        <v>1.640845070422535</v>
      </c>
      <c r="BO36" s="5">
        <f>IF(M36&lt;8,1.22,IF(M36&lt;15.2,0.108333*M36+0.353,2))</f>
        <v>1.22</v>
      </c>
      <c r="BP36" s="12">
        <f>IF(BK36&lt;BO36,1+0.3*(BO36-BK36)/M36,1)</f>
        <v>1</v>
      </c>
      <c r="BQ36" s="39">
        <v>7.5</v>
      </c>
      <c r="BR36" s="39">
        <v>0</v>
      </c>
      <c r="BS36" t="s" s="24">
        <v>154</v>
      </c>
      <c r="BT36" s="36"/>
      <c r="BU36" s="36"/>
      <c r="BV36" s="5">
        <f>IF(BQ36&lt;(M36/0.3048)^0.5,1,IF(BU36="x",1-BR36*0.02,IF(BT36="x",1-BR36*0.01,1)))</f>
        <v>1</v>
      </c>
      <c r="BW36" s="12">
        <f>IF(K36="x",MIN(1.315,1.28+U36*N36/BJ36/AR36/1100),IF(L36="x",1.28,MAX(1.245,1.28-U36*N36/BJ36/AR36/1100)))</f>
        <v>1.263869151317574</v>
      </c>
      <c r="BX36" s="41">
        <f>BW36*T36*BV36*BP36*N36^0.3*BJ36^0.4/V36^0.325</f>
        <v>0.9758300135949822</v>
      </c>
      <c r="BY36" s="29"/>
      <c r="BZ36" s="29"/>
      <c r="CA36" t="s" s="19">
        <v>162</v>
      </c>
      <c r="CB36" t="s" s="19">
        <v>370</v>
      </c>
      <c r="CC36" t="s" s="19">
        <v>164</v>
      </c>
      <c r="CD36" s="3"/>
      <c r="CE36" s="3"/>
      <c r="CF36" s="3"/>
      <c r="CG36" t="s" s="30">
        <f>A36</f>
        <v>371</v>
      </c>
    </row>
    <row r="37" ht="12.75" customHeight="1">
      <c r="A37" t="s" s="25">
        <v>372</v>
      </c>
      <c r="B37" t="s" s="19">
        <v>227</v>
      </c>
      <c r="C37" t="s" s="19">
        <v>213</v>
      </c>
      <c r="D37" t="s" s="19">
        <v>228</v>
      </c>
      <c r="E37" t="s" s="19">
        <v>373</v>
      </c>
      <c r="F37" s="3"/>
      <c r="G37" t="s" s="19">
        <v>374</v>
      </c>
      <c r="H37" s="32"/>
      <c r="I37" s="32"/>
      <c r="J37" t="s" s="24">
        <v>154</v>
      </c>
      <c r="K37" s="36"/>
      <c r="L37" s="36"/>
      <c r="M37" s="11">
        <v>12.03</v>
      </c>
      <c r="N37" s="5">
        <v>12.03</v>
      </c>
      <c r="O37" s="11">
        <v>6.4</v>
      </c>
      <c r="P37" s="11">
        <v>0.92</v>
      </c>
      <c r="Q37" s="37"/>
      <c r="R37" s="36"/>
      <c r="S37" s="36"/>
      <c r="T37" s="38">
        <f>IF(S37&gt;0,1.048,IF(R37&gt;0,1.048,IF(Q37&gt;0,1.036,0.907+1.55*(P37/N37)-4.449*(P37/N37)^2)))</f>
        <v>0.9995170200019486</v>
      </c>
      <c r="U37" s="39">
        <v>5100</v>
      </c>
      <c r="V37" s="40">
        <f>IF(H37="x",75+U37,IF(M37&lt;6.66,150+U37,-1.7384*M37^2+92.38*M37-388+U37))</f>
        <v>5571.74858744</v>
      </c>
      <c r="W37" s="5"/>
      <c r="X37" s="5"/>
      <c r="Y37" s="5"/>
      <c r="Z37" s="5"/>
      <c r="AA37" s="5"/>
      <c r="AB37" s="5"/>
      <c r="AC37" s="5">
        <v>14.8</v>
      </c>
      <c r="AD37" s="33">
        <v>55</v>
      </c>
      <c r="AE37" s="5">
        <f>IF(AD37=0,(W37+4*X37+2*Y37+4*Z37+AA37)*AC37/12+W37*AB37/1.5,AD37)</f>
        <v>55</v>
      </c>
      <c r="AF37" s="11">
        <v>15</v>
      </c>
      <c r="AG37" s="11">
        <v>0.7</v>
      </c>
      <c r="AH37" s="5">
        <f>IF(AC37=0,AE37+AF37*AG37/2,AE37+AC37*AG37/2)</f>
        <v>60.18</v>
      </c>
      <c r="AI37" s="5">
        <v>12.3</v>
      </c>
      <c r="AJ37" s="3"/>
      <c r="AK37" s="33">
        <v>30.64</v>
      </c>
      <c r="AL37" s="5">
        <f>IF(AK37=0,AI37*AJ37/2,AK37)</f>
        <v>30.64</v>
      </c>
      <c r="AM37" s="3"/>
      <c r="AN37" s="5"/>
      <c r="AO37" s="5">
        <v>0.132</v>
      </c>
      <c r="AP37" s="5">
        <f>AL37+AI37*(AN37-AO37)/2</f>
        <v>29.8282</v>
      </c>
      <c r="AQ37" s="5">
        <f>0.1*(AE37+AL37)</f>
        <v>8.564</v>
      </c>
      <c r="AR37" s="11">
        <v>15.3</v>
      </c>
      <c r="AS37" s="11"/>
      <c r="AT37" s="11"/>
      <c r="AU37" s="11"/>
      <c r="AV37" s="33">
        <v>66.95</v>
      </c>
      <c r="AW37" s="5">
        <f>IF(AV37=0,AS37/6*(AT37+AU37*4),AV37)</f>
        <v>66.95</v>
      </c>
      <c r="AX37" s="11">
        <v>1.8</v>
      </c>
      <c r="AY37" s="5">
        <f>IF(AX37&lt;0.149*M37+0.329,1,AX37/(0.149*M37+0.329))</f>
        <v>1</v>
      </c>
      <c r="AZ37" s="5">
        <f>IF(AW37*AY37&gt;AL37,(AW37*AY37-AL37)/4,0)</f>
        <v>9.077500000000001</v>
      </c>
      <c r="BA37" s="12">
        <f>0.401+0.1831*(2*AR37^2/(AH37+AP37+AZ37))-0.02016*(2*AR37^2/(AH37+AP37+AZ37))^2+0.0007472*(2*AR37^2/(AH37+AP37+AZ37))^3</f>
        <v>0.8948839946178916</v>
      </c>
      <c r="BB37" s="3"/>
      <c r="BC37" s="3"/>
      <c r="BD37" s="3"/>
      <c r="BE37" s="3"/>
      <c r="BF37" s="33">
        <v>120.24</v>
      </c>
      <c r="BG37" s="5">
        <f>IF(BF37=0,(BC37+BD37)*(BB37/12+BE37/3),BF37)</f>
        <v>120.24</v>
      </c>
      <c r="BH37" s="5">
        <f>IF(BG37*AY37&gt;AL37+AZ37,BG37*AY37-AL37-AZ37,0)</f>
        <v>80.52249999999999</v>
      </c>
      <c r="BI37" s="5">
        <f>IF(M37/1.6&lt;8,ROUND(M37/1.6,0),8)</f>
        <v>8</v>
      </c>
      <c r="BJ37" s="5">
        <f>(AH37+AP37+AZ37)*BA37+0.1*BH37</f>
        <v>96.72245702551002</v>
      </c>
      <c r="BK37" s="11">
        <v>1.85</v>
      </c>
      <c r="BL37" s="5">
        <f>M37*0.2</f>
        <v>2.406</v>
      </c>
      <c r="BM37" s="5">
        <f>ROUNDDOWN(M37/2.13,0)</f>
        <v>5</v>
      </c>
      <c r="BN37" s="12">
        <f>M37/4.26</f>
        <v>2.823943661971831</v>
      </c>
      <c r="BO37" s="5">
        <f>IF(M37&lt;8,1.22,IF(M37&lt;15.2,0.108333*M37+0.353,2))</f>
        <v>1.65624599</v>
      </c>
      <c r="BP37" s="12">
        <f>IF(BK37&lt;BO37,1+0.3*(BO37-BK37)/M37,1)</f>
        <v>1</v>
      </c>
      <c r="BQ37" s="39">
        <v>8</v>
      </c>
      <c r="BR37" s="39">
        <v>2</v>
      </c>
      <c r="BS37" s="36"/>
      <c r="BT37" t="s" s="24">
        <v>154</v>
      </c>
      <c r="BU37" s="36"/>
      <c r="BV37" s="5">
        <f>IF(BQ37&lt;(M37/0.3048)^0.5,1,IF(BU37="x",1-BR37*0.02,IF(BT37="x",1-BR37*0.01,1)))</f>
        <v>0.98</v>
      </c>
      <c r="BW37" s="12">
        <f>IF(K37="x",MIN(1.315,1.28+U37*N37/BJ37/AR37/1100),IF(L37="x",1.28,MAX(1.245,1.28-U37*N37/BJ37/AR37/1100)))</f>
        <v>1.245</v>
      </c>
      <c r="BX37" s="41">
        <f>BW37*T37*BV37*BP37*N37^0.3*BJ37^0.4/V37^0.325</f>
        <v>0.9705747661277692</v>
      </c>
      <c r="BY37" s="48"/>
      <c r="BZ37" s="48"/>
      <c r="CA37" t="s" s="19">
        <v>162</v>
      </c>
      <c r="CB37" t="s" s="19">
        <v>375</v>
      </c>
      <c r="CC37" t="s" s="19">
        <v>254</v>
      </c>
      <c r="CD37" t="s" s="19">
        <v>376</v>
      </c>
      <c r="CE37" s="3"/>
      <c r="CF37" s="3"/>
      <c r="CG37" t="s" s="30">
        <f>A37</f>
        <v>377</v>
      </c>
    </row>
    <row r="38" ht="12.75" customHeight="1">
      <c r="A38" t="s" s="25">
        <v>378</v>
      </c>
      <c r="B38" t="s" s="19">
        <v>379</v>
      </c>
      <c r="C38" t="s" s="19">
        <v>213</v>
      </c>
      <c r="D38" t="s" s="19">
        <v>380</v>
      </c>
      <c r="E38" t="s" s="19">
        <v>381</v>
      </c>
      <c r="F38" t="s" s="19">
        <v>382</v>
      </c>
      <c r="G38" t="s" s="19">
        <v>383</v>
      </c>
      <c r="H38" s="32"/>
      <c r="I38" s="32"/>
      <c r="J38" t="s" s="24">
        <v>154</v>
      </c>
      <c r="K38" s="36"/>
      <c r="L38" s="36"/>
      <c r="M38" s="11">
        <v>9.99</v>
      </c>
      <c r="N38" s="5">
        <v>9.99</v>
      </c>
      <c r="O38" s="11">
        <v>6.35</v>
      </c>
      <c r="P38" s="11">
        <v>0.91</v>
      </c>
      <c r="Q38" s="37"/>
      <c r="R38" s="36"/>
      <c r="S38" s="36"/>
      <c r="T38" s="38">
        <f>IF(S38&gt;0,1.048,IF(R38&gt;0,1.048,IF(Q38&gt;0,1.036,0.907+1.55*(P38/N38)-4.449*(P38/N38)^2)))</f>
        <v>1.011275227179131</v>
      </c>
      <c r="U38" s="39">
        <v>2750</v>
      </c>
      <c r="V38" s="40">
        <f>IF(H38="x",75+U38,IF(M38&lt;6.66,150+U38,-1.7384*M38^2+92.38*M38-388+U38))</f>
        <v>3111.38370616</v>
      </c>
      <c r="W38" s="5"/>
      <c r="X38" s="5"/>
      <c r="Y38" s="5"/>
      <c r="Z38" s="5"/>
      <c r="AA38" s="5"/>
      <c r="AB38" s="5"/>
      <c r="AC38" s="5">
        <v>12.6</v>
      </c>
      <c r="AD38" s="33">
        <v>43.59</v>
      </c>
      <c r="AE38" s="5">
        <f>IF(AD38=0,(W38+4*X38+2*Y38+4*Z38+AA38)*AC38/12+W38*AB38/1.5,AD38)</f>
        <v>43.59</v>
      </c>
      <c r="AF38" s="11">
        <v>13.2</v>
      </c>
      <c r="AG38" s="11">
        <v>0.702</v>
      </c>
      <c r="AH38" s="5">
        <f>IF(AC38=0,AE38+AF38*AG38/2,AE38+AC38*AG38/2)</f>
        <v>48.01260000000001</v>
      </c>
      <c r="AI38" s="5">
        <v>11.5</v>
      </c>
      <c r="AJ38" s="3"/>
      <c r="AK38" s="33">
        <v>24.15</v>
      </c>
      <c r="AL38" s="5">
        <f>IF(AK38=0,AI38*AJ38/2,AK38)</f>
        <v>24.15</v>
      </c>
      <c r="AM38" s="3"/>
      <c r="AN38" s="5"/>
      <c r="AO38" s="5">
        <v>0.126</v>
      </c>
      <c r="AP38" s="5">
        <f>AL38+AI38*(AN38-AO38)/2</f>
        <v>23.4255</v>
      </c>
      <c r="AQ38" s="5">
        <f>0.1*(AE38+AL38)</f>
        <v>6.774000000000001</v>
      </c>
      <c r="AR38" s="11">
        <v>13.49</v>
      </c>
      <c r="AS38" s="11"/>
      <c r="AT38" s="11"/>
      <c r="AU38" s="11"/>
      <c r="AV38" s="33"/>
      <c r="AW38" s="5">
        <f>IF(AV38=0,AS38/6*(AT38+AU38*4),AV38)</f>
        <v>0</v>
      </c>
      <c r="AX38" s="11">
        <v>1.3</v>
      </c>
      <c r="AY38" s="5">
        <f>IF(AX38&lt;0.149*M38+0.329,1,AX38/(0.149*M38+0.329))</f>
        <v>1</v>
      </c>
      <c r="AZ38" s="5">
        <f>IF(AW38*AY38&gt;AL38,(AW38*AY38-AL38)/4,0)</f>
        <v>0</v>
      </c>
      <c r="BA38" s="12">
        <f>0.401+0.1831*(2*AR38^2/(AH38+AP38+AZ38))-0.02016*(2*AR38^2/(AH38+AP38+AZ38))^2+0.0007472*(2*AR38^2/(AH38+AP38+AZ38))^3</f>
        <v>0.9093776553614299</v>
      </c>
      <c r="BB38" s="3"/>
      <c r="BC38" s="3"/>
      <c r="BD38" s="3"/>
      <c r="BE38" s="3"/>
      <c r="BF38" s="33">
        <v>66.72</v>
      </c>
      <c r="BG38" s="5">
        <f>IF(BF38=0,(BC38+BD38)*(BB38/12+BE38/3),BF38)</f>
        <v>66.72</v>
      </c>
      <c r="BH38" s="5">
        <f>IF(BG38*AY38&gt;AL38+AZ38,BG38*AY38-AL38-AZ38,0)</f>
        <v>42.57</v>
      </c>
      <c r="BI38" s="5">
        <f>IF(M38/1.6&lt;8,ROUND(M38/1.6,0),8)</f>
        <v>6</v>
      </c>
      <c r="BJ38" s="5">
        <f>(AH38+AP38+AZ38)*BA38+0.1*BH38</f>
        <v>69.22121188147537</v>
      </c>
      <c r="BK38" s="11">
        <v>1.85</v>
      </c>
      <c r="BL38" s="5">
        <f>M38*0.2</f>
        <v>1.998</v>
      </c>
      <c r="BM38" s="5">
        <f>ROUNDDOWN(M38/2.13,0)</f>
        <v>4</v>
      </c>
      <c r="BN38" s="12">
        <f>M38/4.26</f>
        <v>2.345070422535211</v>
      </c>
      <c r="BO38" s="5">
        <f>IF(M38&lt;8,1.22,IF(M38&lt;15.2,0.108333*M38+0.353,2))</f>
        <v>1.43524667</v>
      </c>
      <c r="BP38" s="12">
        <f>IF(BK38&lt;BO38,1+0.3*(BO38-BK38)/M38,1)</f>
        <v>1</v>
      </c>
      <c r="BQ38" s="32"/>
      <c r="BR38" s="32"/>
      <c r="BS38" t="s" s="24">
        <v>154</v>
      </c>
      <c r="BT38" s="36"/>
      <c r="BU38" s="36"/>
      <c r="BV38" s="5">
        <f>IF(BQ38&lt;(M38/0.3048)^0.5,1,IF(BU38="x",1-BR38*0.02,IF(BT38="x",1-BR38*0.01,1)))</f>
        <v>1</v>
      </c>
      <c r="BW38" s="12">
        <f>IF(K38="x",MIN(1.315,1.28+U38*N38/BJ38/AR38/1100),IF(L38="x",1.28,MAX(1.245,1.28-U38*N38/BJ38/AR38/1100)))</f>
        <v>1.25325427660264</v>
      </c>
      <c r="BX38" s="41">
        <f>BW38*T38*BV38*BP38*N38^0.3*BJ38^0.4/V38^0.325</f>
        <v>1.008472310815449</v>
      </c>
      <c r="BY38" s="29"/>
      <c r="BZ38" s="29"/>
      <c r="CA38" t="s" s="19">
        <v>213</v>
      </c>
      <c r="CB38" t="s" s="19">
        <v>384</v>
      </c>
      <c r="CC38" t="s" s="19">
        <v>385</v>
      </c>
      <c r="CD38" t="s" s="19">
        <v>386</v>
      </c>
      <c r="CE38" s="3"/>
      <c r="CF38" s="3"/>
      <c r="CG38" t="s" s="30">
        <f>A38</f>
        <v>387</v>
      </c>
    </row>
    <row r="39" ht="12.75" customHeight="1">
      <c r="A39" t="s" s="25">
        <v>388</v>
      </c>
      <c r="B39" t="s" s="19">
        <v>389</v>
      </c>
      <c r="C39" t="s" s="19">
        <v>390</v>
      </c>
      <c r="D39" t="s" s="19">
        <v>391</v>
      </c>
      <c r="E39" t="s" s="19">
        <v>392</v>
      </c>
      <c r="F39" s="3"/>
      <c r="G39" s="42">
        <v>212</v>
      </c>
      <c r="H39" s="32"/>
      <c r="I39" s="32"/>
      <c r="J39" t="s" s="24">
        <v>154</v>
      </c>
      <c r="K39" s="36"/>
      <c r="L39" s="36"/>
      <c r="M39" s="11">
        <v>8.529999999999999</v>
      </c>
      <c r="N39" s="5">
        <v>8.529999999999999</v>
      </c>
      <c r="O39" s="11"/>
      <c r="P39" s="11"/>
      <c r="Q39" s="37"/>
      <c r="R39" t="s" s="24">
        <v>161</v>
      </c>
      <c r="S39" s="36"/>
      <c r="T39" s="38">
        <f>IF(S39&gt;0,1.048,IF(R39&gt;0,1.048,IF(Q39&gt;0,1.036,0.907+1.55*(P39/N39)-4.449*(P39/N39)^2)))</f>
        <v>1.048</v>
      </c>
      <c r="U39" s="39">
        <v>885</v>
      </c>
      <c r="V39" s="40">
        <f>IF(H39="x",75+U39,IF(M39&lt;6.66,150+U39,-1.7384*M39^2+92.38*M39-388+U39))</f>
        <v>1158.51385144</v>
      </c>
      <c r="W39" s="5"/>
      <c r="X39" s="5"/>
      <c r="Y39" s="5"/>
      <c r="Z39" s="5"/>
      <c r="AA39" s="5"/>
      <c r="AB39" s="5"/>
      <c r="AC39" s="5">
        <v>13.71</v>
      </c>
      <c r="AD39" s="33">
        <v>41.04</v>
      </c>
      <c r="AE39" s="5">
        <f>IF(AD39=0,(W39+4*X39+2*Y39+4*Z39+AA39)*AC39/12+W39*AB39/1.5,AD39)</f>
        <v>41.04</v>
      </c>
      <c r="AF39" s="11">
        <v>14.7</v>
      </c>
      <c r="AG39" s="11">
        <v>0.48</v>
      </c>
      <c r="AH39" s="5">
        <f>IF(AC39=0,AE39+AF39*AG39/2,AE39+AC39*AG39/2)</f>
        <v>44.3304</v>
      </c>
      <c r="AI39" s="3"/>
      <c r="AJ39" s="3"/>
      <c r="AK39" s="33">
        <v>11.02</v>
      </c>
      <c r="AL39" s="5">
        <f>IF(AK39=0,AI39*AJ39/2,AK39)</f>
        <v>11.02</v>
      </c>
      <c r="AM39" s="3"/>
      <c r="AN39" s="5"/>
      <c r="AO39" s="5"/>
      <c r="AP39" s="5">
        <f>AL39+AI39*(AN39-AO39)/2</f>
        <v>11.02</v>
      </c>
      <c r="AQ39" s="5">
        <f>0.1*(AE39+AL39)</f>
        <v>5.206</v>
      </c>
      <c r="AR39" s="11">
        <v>14.7</v>
      </c>
      <c r="AS39" s="11"/>
      <c r="AT39" s="11"/>
      <c r="AU39" s="11"/>
      <c r="AV39" s="33">
        <v>0</v>
      </c>
      <c r="AW39" s="5">
        <f>IF(AV39=0,AS39/6*(AT39+AU39*4),AV39)</f>
        <v>0</v>
      </c>
      <c r="AX39" s="11">
        <v>1.6</v>
      </c>
      <c r="AY39" s="5">
        <f>IF(AX39&lt;0.149*M39+0.329,1,AX39/(0.149*M39+0.329))</f>
        <v>1.000018750351569</v>
      </c>
      <c r="AZ39" s="5">
        <f>IF(AW39*AY39&gt;AL39,(AW39*AY39-AL39)/4,0)</f>
        <v>0</v>
      </c>
      <c r="BA39" s="12">
        <f>0.401+0.1831*(2*AR39^2/(AH39+AP39+AZ39))-0.02016*(2*AR39^2/(AH39+AP39+AZ39))^2+0.0007472*(2*AR39^2/(AH39+AP39+AZ39))^3</f>
        <v>0.9572709109601206</v>
      </c>
      <c r="BB39" s="3"/>
      <c r="BC39" s="3"/>
      <c r="BD39" s="3"/>
      <c r="BE39" s="3"/>
      <c r="BF39" s="33">
        <v>65</v>
      </c>
      <c r="BG39" s="5">
        <f>IF(BF39=0,(BC39+BD39)*(BB39/12+BE39/3),BF39)</f>
        <v>65</v>
      </c>
      <c r="BH39" s="5">
        <f>IF(BG39*AY39&gt;AL39+AZ39,BG39*AY39-AL39-AZ39,0)</f>
        <v>53.981218772852</v>
      </c>
      <c r="BI39" s="5">
        <f>IF(M39/1.6&lt;8,ROUND(M39/1.6,0),8)</f>
        <v>5</v>
      </c>
      <c r="BJ39" s="5">
        <f>(AH39+AP39+AZ39)*BA39+0.1*BH39</f>
        <v>58.38344970729225</v>
      </c>
      <c r="BK39" s="11">
        <v>1.22</v>
      </c>
      <c r="BL39" s="5">
        <f>M39*0.2</f>
        <v>1.706</v>
      </c>
      <c r="BM39" s="5">
        <f>ROUNDDOWN(M39/2.13,0)</f>
        <v>4</v>
      </c>
      <c r="BN39" s="12">
        <f>M39/4.26</f>
        <v>2.002347417840376</v>
      </c>
      <c r="BO39" s="5">
        <f>IF(M39&lt;8,1.22,IF(M39&lt;15.2,0.108333*M39+0.353,2))</f>
        <v>1.27708049</v>
      </c>
      <c r="BP39" s="12">
        <f>IF(BK39&lt;BO39,1+0.3*(BO39-BK39)/M39,1)</f>
        <v>1.002007520164127</v>
      </c>
      <c r="BQ39" s="32"/>
      <c r="BR39" s="39">
        <v>0</v>
      </c>
      <c r="BS39" t="s" s="24">
        <v>154</v>
      </c>
      <c r="BT39" s="36"/>
      <c r="BU39" s="36"/>
      <c r="BV39" s="5">
        <f>IF(BQ39&lt;(M39/0.3048)^0.5,1,IF(BU39="x",1-BR39*0.02,IF(BT39="x",1-BR39*0.01,1)))</f>
        <v>1</v>
      </c>
      <c r="BW39" s="12">
        <f>IF(K39="x",MIN(1.315,1.28+U39*N39/BJ39/AR39/1100),IF(L39="x",1.28,MAX(1.245,1.28-U39*N39/BJ39/AR39/1100)))</f>
        <v>1.272003636477286</v>
      </c>
      <c r="BX39" s="41">
        <f>BW39*T39*BV39*BP39*N39^0.3*BJ39^0.4/V39^0.325</f>
        <v>1.305429212367376</v>
      </c>
      <c r="BY39" s="29"/>
      <c r="BZ39" s="29"/>
      <c r="CA39" t="s" s="19">
        <v>162</v>
      </c>
      <c r="CB39" t="s" s="19">
        <v>393</v>
      </c>
      <c r="CC39" t="s" s="19">
        <v>254</v>
      </c>
      <c r="CD39" t="s" s="19">
        <v>340</v>
      </c>
      <c r="CE39" s="3"/>
      <c r="CF39" s="3"/>
      <c r="CG39" t="s" s="30">
        <f>A39</f>
        <v>394</v>
      </c>
    </row>
    <row r="40" ht="12.75" customHeight="1">
      <c r="A40" t="s" s="25">
        <v>395</v>
      </c>
      <c r="B40" t="s" s="19">
        <v>338</v>
      </c>
      <c r="C40" t="s" s="19">
        <v>213</v>
      </c>
      <c r="D40" t="s" s="19">
        <v>396</v>
      </c>
      <c r="E40" t="s" s="19">
        <v>397</v>
      </c>
      <c r="F40" s="3"/>
      <c r="G40" t="s" s="19">
        <v>398</v>
      </c>
      <c r="H40" s="32"/>
      <c r="I40" s="32"/>
      <c r="J40" t="s" s="24">
        <v>154</v>
      </c>
      <c r="K40" s="36"/>
      <c r="L40" s="36"/>
      <c r="M40" s="11">
        <v>8.529999999999999</v>
      </c>
      <c r="N40" s="5">
        <v>8.529999999999999</v>
      </c>
      <c r="O40" s="11">
        <v>6</v>
      </c>
      <c r="P40" s="11"/>
      <c r="Q40" s="37"/>
      <c r="R40" t="s" s="24">
        <v>399</v>
      </c>
      <c r="S40" s="36"/>
      <c r="T40" s="38">
        <f>IF(S40&gt;0,1.048,IF(R40&gt;0,1.048,IF(Q40&gt;0,1.036,0.907+1.55*(P40/N40)-4.449*(P40/N40)^2)))</f>
        <v>1.048</v>
      </c>
      <c r="U40" s="39">
        <v>810</v>
      </c>
      <c r="V40" s="40">
        <f>IF(H40="x",75+U40,IF(M40&lt;6.66,150+U40,-1.7384*M40^2+92.38*M40-388+U40))</f>
        <v>1083.51385144</v>
      </c>
      <c r="W40" s="5"/>
      <c r="X40" s="5"/>
      <c r="Y40" s="5"/>
      <c r="Z40" s="5"/>
      <c r="AA40" s="5"/>
      <c r="AB40" s="5"/>
      <c r="AC40" s="5"/>
      <c r="AD40" s="33">
        <v>43.52</v>
      </c>
      <c r="AE40" s="5">
        <f>IF(AD40=0,(W40+4*X40+2*Y40+4*Z40+AA40)*AC40/12+W40*AB40/1.5,AD40)</f>
        <v>43.52</v>
      </c>
      <c r="AF40" s="11">
        <v>14.7</v>
      </c>
      <c r="AG40" s="11"/>
      <c r="AH40" s="5">
        <f>IF(AC40=0,AE40+AF40*AG40/2,AE40+AC40*AG40/2)</f>
        <v>43.52</v>
      </c>
      <c r="AI40" s="3"/>
      <c r="AJ40" s="3"/>
      <c r="AK40" s="33">
        <v>12.93</v>
      </c>
      <c r="AL40" s="5">
        <f>IF(AK40=0,AI40*AJ40/2,AK40)</f>
        <v>12.93</v>
      </c>
      <c r="AM40" s="3"/>
      <c r="AN40" s="5"/>
      <c r="AO40" s="5"/>
      <c r="AP40" s="5">
        <f>AL40+AI40*(AN40-AO40)/2</f>
        <v>12.93</v>
      </c>
      <c r="AQ40" s="5">
        <f>0.1*(AE40+AL40)</f>
        <v>5.645</v>
      </c>
      <c r="AR40" s="11">
        <v>14.7</v>
      </c>
      <c r="AS40" s="11"/>
      <c r="AT40" s="11"/>
      <c r="AU40" s="11"/>
      <c r="AV40" s="33">
        <v>0</v>
      </c>
      <c r="AW40" s="5">
        <f>IF(AV40=0,AS40/6*(AT40+AU40*4),AV40)</f>
        <v>0</v>
      </c>
      <c r="AX40" s="11">
        <v>1.3</v>
      </c>
      <c r="AY40" s="5">
        <f>IF(AX40&lt;0.149*M40+0.329,1,AX40/(0.149*M40+0.329))</f>
        <v>1</v>
      </c>
      <c r="AZ40" s="5">
        <f>IF(AW40*AY40&gt;AL40,(AW40*AY40-AL40)/4,0)</f>
        <v>0</v>
      </c>
      <c r="BA40" s="12">
        <f>0.401+0.1831*(2*AR40^2/(AH40+AP40+AZ40))-0.02016*(2*AR40^2/(AH40+AP40+AZ40))^2+0.0007472*(2*AR40^2/(AH40+AP40+AZ40))^3</f>
        <v>0.9564554764582482</v>
      </c>
      <c r="BB40" s="3"/>
      <c r="BC40" s="3"/>
      <c r="BD40" s="3"/>
      <c r="BE40" s="3"/>
      <c r="BF40" s="33">
        <v>63</v>
      </c>
      <c r="BG40" s="5">
        <f>IF(BF40=0,(BC40+BD40)*(BB40/12+BE40/3),BF40)</f>
        <v>63</v>
      </c>
      <c r="BH40" s="5">
        <f>IF(BG40*AY40&gt;AL40+AZ40,BG40*AY40-AL40-AZ40,0)</f>
        <v>50.07</v>
      </c>
      <c r="BI40" s="5">
        <f>IF(M40/1.6&lt;8,ROUND(M40/1.6,0),8)</f>
        <v>5</v>
      </c>
      <c r="BJ40" s="5">
        <f>(AH40+AP40+AZ40)*BA40+0.1*BH40</f>
        <v>58.99891164606812</v>
      </c>
      <c r="BK40" s="11">
        <v>1.22</v>
      </c>
      <c r="BL40" s="5">
        <f>M40*0.2</f>
        <v>1.706</v>
      </c>
      <c r="BM40" s="5">
        <f>ROUNDDOWN(M40/2.13,0)</f>
        <v>4</v>
      </c>
      <c r="BN40" s="12">
        <f>M40/4.26</f>
        <v>2.002347417840376</v>
      </c>
      <c r="BO40" s="5">
        <f>IF(M40&lt;8,1.22,IF(M40&lt;15.2,0.108333*M40+0.353,2))</f>
        <v>1.27708049</v>
      </c>
      <c r="BP40" s="12">
        <f>IF(BK40&lt;BO40,1+0.3*(BO40-BK40)/M40,1)</f>
        <v>1.002007520164127</v>
      </c>
      <c r="BQ40" s="32"/>
      <c r="BR40" s="39">
        <v>0</v>
      </c>
      <c r="BS40" t="s" s="24">
        <v>154</v>
      </c>
      <c r="BT40" s="36"/>
      <c r="BU40" s="36"/>
      <c r="BV40" s="5">
        <f>IF(BQ40&lt;(M40/0.3048)^0.5,1,IF(BU40="x",1-BR40*0.02,IF(BT40="x",1-BR40*0.01,1)))</f>
        <v>1</v>
      </c>
      <c r="BW40" s="12">
        <f>IF(K40="x",MIN(1.315,1.28+U40*N40/BJ40/AR40/1100),IF(L40="x",1.28,MAX(1.245,1.28-U40*N40/BJ40/AR40/1100)))</f>
        <v>1.272757641315289</v>
      </c>
      <c r="BX40" s="41">
        <f>BW40*T40*BV40*BP40*N40^0.3*BJ40^0.4/V40^0.325</f>
        <v>1.340537860611229</v>
      </c>
      <c r="BY40" s="29"/>
      <c r="BZ40" s="29"/>
      <c r="CA40" t="s" s="19">
        <v>162</v>
      </c>
      <c r="CB40" s="42">
        <v>1997</v>
      </c>
      <c r="CC40" t="s" s="19">
        <v>254</v>
      </c>
      <c r="CD40" t="s" s="19">
        <v>340</v>
      </c>
      <c r="CE40" s="3"/>
      <c r="CF40" s="3"/>
      <c r="CG40" t="s" s="30">
        <f>A40</f>
        <v>400</v>
      </c>
    </row>
    <row r="41" ht="12.75" customHeight="1">
      <c r="A41" t="s" s="25">
        <v>401</v>
      </c>
      <c r="B41" t="s" s="19">
        <v>402</v>
      </c>
      <c r="C41" t="s" s="19">
        <v>344</v>
      </c>
      <c r="D41" t="s" s="19">
        <v>345</v>
      </c>
      <c r="E41" t="s" s="19">
        <v>403</v>
      </c>
      <c r="F41" t="s" s="19">
        <v>404</v>
      </c>
      <c r="G41" t="s" s="19">
        <v>405</v>
      </c>
      <c r="H41" s="32"/>
      <c r="I41" s="32"/>
      <c r="J41" s="36"/>
      <c r="K41" t="s" s="24">
        <v>154</v>
      </c>
      <c r="L41" s="36"/>
      <c r="M41" s="11">
        <v>9.4</v>
      </c>
      <c r="N41" s="5">
        <v>9.4</v>
      </c>
      <c r="O41" s="11">
        <v>6.84</v>
      </c>
      <c r="P41" s="11"/>
      <c r="Q41" s="37"/>
      <c r="R41" t="s" s="24">
        <v>406</v>
      </c>
      <c r="S41" s="36"/>
      <c r="T41" s="38">
        <f>IF(S41&gt;0,1.048,IF(R41&gt;0,1.048,IF(Q41&gt;0,1.036,0.907+1.55*(P41/N41)-4.449*(P41/N41)^2)))</f>
        <v>1.048</v>
      </c>
      <c r="U41" s="39">
        <v>1800</v>
      </c>
      <c r="V41" s="40">
        <f>IF(H41="x",75+U41,IF(M41&lt;6.66,150+U41,-1.7384*M41^2+92.38*M41-388+U41))</f>
        <v>2126.766976</v>
      </c>
      <c r="W41" s="5"/>
      <c r="X41" s="5"/>
      <c r="Y41" s="5"/>
      <c r="Z41" s="5"/>
      <c r="AA41" s="5"/>
      <c r="AB41" s="5"/>
      <c r="AC41" s="5">
        <v>12.36</v>
      </c>
      <c r="AD41" s="33">
        <v>39.7</v>
      </c>
      <c r="AE41" s="5">
        <f>IF(AD41=0,(W41+4*X41+2*Y41+4*Z41+AA41)*AC41/12+W41*AB41/1.5,AD41)</f>
        <v>39.7</v>
      </c>
      <c r="AF41" s="11">
        <v>12.96</v>
      </c>
      <c r="AG41" s="11">
        <v>0.5</v>
      </c>
      <c r="AH41" s="5">
        <f>IF(AC41=0,AE41+AF41*AG41/2,AE41+AC41*AG41/2)</f>
        <v>42.79000000000001</v>
      </c>
      <c r="AI41" s="5">
        <v>10.45</v>
      </c>
      <c r="AJ41" s="3"/>
      <c r="AK41" s="33">
        <v>20.2</v>
      </c>
      <c r="AL41" s="5">
        <f>IF(AK41=0,AI41*AJ41/2,AK41)</f>
        <v>20.2</v>
      </c>
      <c r="AM41" s="3"/>
      <c r="AN41" s="5"/>
      <c r="AO41" s="5">
        <v>0.11</v>
      </c>
      <c r="AP41" s="5">
        <f>AL41+AI41*(AN41-AO41)/2</f>
        <v>19.62525</v>
      </c>
      <c r="AQ41" s="5">
        <f>0.1*(AE41+AL41)</f>
        <v>5.990000000000001</v>
      </c>
      <c r="AR41" s="11">
        <v>13.1</v>
      </c>
      <c r="AS41" s="11"/>
      <c r="AT41" s="11"/>
      <c r="AU41" s="11"/>
      <c r="AV41" s="33">
        <v>41.6</v>
      </c>
      <c r="AW41" s="5">
        <f>IF(AV41=0,AS41/6*(AT41+AU41*4),AV41)</f>
        <v>41.6</v>
      </c>
      <c r="AX41" s="11">
        <v>2.16</v>
      </c>
      <c r="AY41" s="5">
        <f>IF(AX41&lt;0.149*M41+0.329,1,AX41/(0.149*M41+0.329))</f>
        <v>1.248843663274746</v>
      </c>
      <c r="AZ41" s="5">
        <f>IF(AW41*AY41&gt;AL41,(AW41*AY41-AL41)/4,0)</f>
        <v>7.937974098057356</v>
      </c>
      <c r="BA41" s="12">
        <f>0.401+0.1831*(2*AR41^2/(AH41+AP41+AZ41))-0.02016*(2*AR41^2/(AH41+AP41+AZ41))^2+0.0007472*(2*AR41^2/(AH41+AP41+AZ41))^3</f>
        <v>0.9012064129891101</v>
      </c>
      <c r="BB41" s="3"/>
      <c r="BC41" s="3"/>
      <c r="BD41" s="3"/>
      <c r="BE41" s="3"/>
      <c r="BF41" s="33">
        <v>92.2</v>
      </c>
      <c r="BG41" s="5">
        <f>IF(BF41=0,(BC41+BD41)*(BB41/12+BE41/3),BF41)</f>
        <v>92.2</v>
      </c>
      <c r="BH41" s="5">
        <f>IF(BG41*AY41&gt;AL41+AZ41,BG41*AY41-AL41-AZ41,0)</f>
        <v>87.0054116558742</v>
      </c>
      <c r="BI41" s="5">
        <f>IF(M41/1.6&lt;8,ROUND(M41/1.6,0),8)</f>
        <v>6</v>
      </c>
      <c r="BJ41" s="5">
        <f>(AH41+AP41+AZ41)*BA41+0.1*BH41</f>
        <v>72.10331789721671</v>
      </c>
      <c r="BK41" s="11">
        <v>1.8</v>
      </c>
      <c r="BL41" s="5">
        <f>M41*0.2</f>
        <v>1.88</v>
      </c>
      <c r="BM41" s="5">
        <f>ROUNDDOWN(M41/2.13,0)</f>
        <v>4</v>
      </c>
      <c r="BN41" s="12">
        <f>M41/4.26</f>
        <v>2.206572769953052</v>
      </c>
      <c r="BO41" s="5">
        <f>IF(M41&lt;8,1.22,IF(M41&lt;15.2,0.108333*M41+0.353,2))</f>
        <v>1.3713302</v>
      </c>
      <c r="BP41" s="12">
        <f>IF(BK41&lt;BO41,1+0.3*(BO41-BK41)/M41,1)</f>
        <v>1</v>
      </c>
      <c r="BQ41" s="39">
        <v>6</v>
      </c>
      <c r="BR41" s="39">
        <v>1</v>
      </c>
      <c r="BS41" t="s" s="24">
        <v>154</v>
      </c>
      <c r="BT41" s="36"/>
      <c r="BU41" s="36"/>
      <c r="BV41" s="5">
        <f>IF(BQ41&lt;(M41/0.3048)^0.5,1,IF(BU41="x",1-BR41*0.02,IF(BT41="x",1-BR41*0.01,1)))</f>
        <v>1</v>
      </c>
      <c r="BW41" s="12">
        <f>IF(K41="x",MIN(1.315,1.28+U41*N41/BJ41/AR41/1100),IF(L41="x",1.28,MAX(1.245,1.28-U41*N41/BJ41/AR41/1100)))</f>
        <v>1.296284751219156</v>
      </c>
      <c r="BX41" s="41">
        <f>BW41*T41*BV41*BP41*N41^0.3*BJ41^0.4/V41^0.325</f>
        <v>1.220880566095279</v>
      </c>
      <c r="BY41" s="29"/>
      <c r="BZ41" s="29"/>
      <c r="CA41" t="s" s="19">
        <v>188</v>
      </c>
      <c r="CB41" t="s" s="19">
        <v>321</v>
      </c>
      <c r="CC41" t="s" s="19">
        <v>164</v>
      </c>
      <c r="CD41" t="s" s="19">
        <v>407</v>
      </c>
      <c r="CE41" s="3"/>
      <c r="CF41" s="3"/>
      <c r="CG41" t="s" s="30">
        <f>A41</f>
        <v>408</v>
      </c>
    </row>
    <row r="42" ht="12.75" customHeight="1">
      <c r="A42" t="s" s="25">
        <v>409</v>
      </c>
      <c r="B42" t="s" s="19">
        <v>410</v>
      </c>
      <c r="C42" t="s" s="19">
        <v>411</v>
      </c>
      <c r="D42" t="s" s="19">
        <v>412</v>
      </c>
      <c r="E42" t="s" s="19">
        <v>413</v>
      </c>
      <c r="F42" s="3"/>
      <c r="G42" t="s" s="19">
        <v>414</v>
      </c>
      <c r="H42" s="32"/>
      <c r="I42" s="32"/>
      <c r="J42" t="s" s="24">
        <v>154</v>
      </c>
      <c r="K42" s="36"/>
      <c r="L42" s="36"/>
      <c r="M42" s="11">
        <v>6.52</v>
      </c>
      <c r="N42" s="5">
        <v>6.52</v>
      </c>
      <c r="O42" s="11">
        <v>3.7</v>
      </c>
      <c r="P42" s="11">
        <v>0.5</v>
      </c>
      <c r="Q42" s="37"/>
      <c r="R42" s="36"/>
      <c r="S42" s="36"/>
      <c r="T42" s="38">
        <f>IF(S42&gt;0,1.048,IF(R42&gt;0,1.048,IF(Q42&gt;0,1.036,0.907+1.55*(P42/N42)-4.449*(P42/N42)^2)))</f>
        <v>0.9997008449697016</v>
      </c>
      <c r="U42" s="39">
        <v>675</v>
      </c>
      <c r="V42" s="40">
        <f>IF(H42="x",75+U42,IF(M42&lt;6.66,150+U42,-1.7384*M42^2+92.38*M42-388+U42))</f>
        <v>825</v>
      </c>
      <c r="W42" s="5"/>
      <c r="X42" s="5"/>
      <c r="Y42" s="5"/>
      <c r="Z42" s="5"/>
      <c r="AA42" s="5"/>
      <c r="AB42" s="5"/>
      <c r="AC42" s="5">
        <v>8.85</v>
      </c>
      <c r="AD42" s="33">
        <v>20.56</v>
      </c>
      <c r="AE42" s="5">
        <f>IF(AD42=0,(W42+4*X42+2*Y42+4*Z42+AA42)*AC42/12+W42*AB42/1.5,AD42)</f>
        <v>20.56</v>
      </c>
      <c r="AF42" s="11">
        <v>9.75</v>
      </c>
      <c r="AG42" s="11">
        <v>0.35</v>
      </c>
      <c r="AH42" s="5">
        <f>IF(AC42=0,AE42+AF42*AG42/2,AE42+AC42*AG42/2)</f>
        <v>22.10875</v>
      </c>
      <c r="AI42" s="3"/>
      <c r="AJ42" s="3"/>
      <c r="AK42" s="33">
        <v>8.699999999999999</v>
      </c>
      <c r="AL42" s="5">
        <f>IF(AK42=0,AI42*AJ42/2,AK42)</f>
        <v>8.699999999999999</v>
      </c>
      <c r="AM42" s="3"/>
      <c r="AN42" s="5"/>
      <c r="AO42" s="5"/>
      <c r="AP42" s="5">
        <f>AL42+AI42*(AN42-AO42)/2</f>
        <v>8.699999999999999</v>
      </c>
      <c r="AQ42" s="5">
        <f>0.1*(AE42+AL42)</f>
        <v>2.926</v>
      </c>
      <c r="AR42" s="11">
        <v>9.800000000000001</v>
      </c>
      <c r="AS42" s="11"/>
      <c r="AT42" s="11"/>
      <c r="AU42" s="11"/>
      <c r="AV42" s="33">
        <v>0</v>
      </c>
      <c r="AW42" s="5">
        <f>IF(AV42=0,AS42/6*(AT42+AU42*4),AV42)</f>
        <v>0</v>
      </c>
      <c r="AX42" s="11">
        <v>0</v>
      </c>
      <c r="AY42" s="5">
        <f>IF(AX42&lt;0.149*M42+0.329,1,AX42/(0.149*M42+0.329))</f>
        <v>1</v>
      </c>
      <c r="AZ42" s="5">
        <f>IF(AW42*AY42&gt;AL42,(AW42*AY42-AL42)/4,0)</f>
        <v>0</v>
      </c>
      <c r="BA42" s="12">
        <f>0.401+0.1831*(2*AR42^2/(AH42+AP42+AZ42))-0.02016*(2*AR42^2/(AH42+AP42+AZ42))^2+0.0007472*(2*AR42^2/(AH42+AP42+AZ42))^3</f>
        <v>0.9400078688125878</v>
      </c>
      <c r="BB42" s="3"/>
      <c r="BC42" s="3"/>
      <c r="BD42" s="3"/>
      <c r="BE42" s="3"/>
      <c r="BF42" s="33">
        <v>25.43</v>
      </c>
      <c r="BG42" s="5">
        <f>IF(BF42=0,(BC42+BD42)*(BB42/12+BE42/3),BF42)</f>
        <v>25.43</v>
      </c>
      <c r="BH42" s="5">
        <f>IF(BG42*AY42&gt;AL42+AZ42,BG42*AY42-AL42-AZ42,0)</f>
        <v>16.73</v>
      </c>
      <c r="BI42" s="5">
        <f>IF(M42/1.6&lt;8,ROUND(M42/1.6,0),8)</f>
        <v>4</v>
      </c>
      <c r="BJ42" s="5">
        <f>(AH42+AP42+AZ42)*BA42+0.1*BH42</f>
        <v>30.63346742827981</v>
      </c>
      <c r="BK42" s="11">
        <v>1.22</v>
      </c>
      <c r="BL42" s="5">
        <f>M42*0.2</f>
        <v>1.304</v>
      </c>
      <c r="BM42" s="5">
        <f>ROUNDDOWN(M42/2.13,0)</f>
        <v>3</v>
      </c>
      <c r="BN42" s="12">
        <f>M42/4.26</f>
        <v>1.530516431924883</v>
      </c>
      <c r="BO42" s="5">
        <f>IF(M42&lt;8,1.22,IF(M42&lt;15.2,0.108333*M42+0.353,2))</f>
        <v>1.22</v>
      </c>
      <c r="BP42" s="12">
        <f>IF(BK42&lt;BO42,1+0.3*(BO42-BK42)/M42,1)</f>
        <v>1</v>
      </c>
      <c r="BQ42" s="39">
        <v>7.5</v>
      </c>
      <c r="BR42" s="39">
        <v>0</v>
      </c>
      <c r="BS42" t="s" s="24">
        <v>154</v>
      </c>
      <c r="BT42" s="36"/>
      <c r="BU42" s="36"/>
      <c r="BV42" s="5">
        <f>IF(BQ42&lt;(M42/0.3048)^0.5,1,IF(BU42="x",1-BR42*0.02,IF(BT42="x",1-BR42*0.01,1)))</f>
        <v>1</v>
      </c>
      <c r="BW42" s="12">
        <f>IF(K42="x",MIN(1.315,1.28+U42*N42/BJ42/AR42/1100),IF(L42="x",1.28,MAX(1.245,1.28-U42*N42/BJ42/AR42/1100)))</f>
        <v>1.266672875650123</v>
      </c>
      <c r="BX42" s="41">
        <f>BW42*T42*BV42*BP42*N42^0.3*BJ42^0.4/V42^0.325</f>
        <v>0.9850079562409332</v>
      </c>
      <c r="BY42" s="29"/>
      <c r="BZ42" s="29"/>
      <c r="CA42" t="s" s="19">
        <v>162</v>
      </c>
      <c r="CB42" t="s" s="19">
        <v>179</v>
      </c>
      <c r="CC42" t="s" s="19">
        <v>254</v>
      </c>
      <c r="CD42" t="s" s="19">
        <v>415</v>
      </c>
      <c r="CE42" s="3"/>
      <c r="CF42" s="3"/>
      <c r="CG42" t="s" s="30">
        <f>A42</f>
        <v>416</v>
      </c>
    </row>
    <row r="43" ht="12.75" customHeight="1">
      <c r="A43" t="s" s="25">
        <v>417</v>
      </c>
      <c r="B43" t="s" s="19">
        <v>418</v>
      </c>
      <c r="C43" t="s" s="19">
        <v>419</v>
      </c>
      <c r="D43" t="s" s="19">
        <v>419</v>
      </c>
      <c r="E43" t="s" s="19">
        <v>420</v>
      </c>
      <c r="F43" t="s" s="19">
        <v>421</v>
      </c>
      <c r="G43" s="3"/>
      <c r="H43" s="32"/>
      <c r="I43" s="32"/>
      <c r="J43" s="36"/>
      <c r="K43" t="s" s="24">
        <v>154</v>
      </c>
      <c r="L43" s="36"/>
      <c r="M43" s="11">
        <v>11.22</v>
      </c>
      <c r="N43" s="5">
        <v>10.5</v>
      </c>
      <c r="O43" s="11">
        <v>8.300000000000001</v>
      </c>
      <c r="P43" s="11"/>
      <c r="Q43" s="37"/>
      <c r="R43" t="s" s="24">
        <v>422</v>
      </c>
      <c r="S43" s="36"/>
      <c r="T43" s="38">
        <f>IF(S43&gt;0,1.048,IF(R43&gt;0,1.048,IF(Q43&gt;0,1.036,0.907+1.55*(P43/N43)-4.449*(P43/N43)^2)))</f>
        <v>1.048</v>
      </c>
      <c r="U43" s="39">
        <v>2500</v>
      </c>
      <c r="V43" s="40">
        <f>IF(H43="x",75+U43,IF(M43&lt;6.66,150+U43,-1.7384*M43^2+92.38*M43-388+U43))</f>
        <v>2929.65920544</v>
      </c>
      <c r="W43" s="5"/>
      <c r="X43" s="5"/>
      <c r="Y43" s="5"/>
      <c r="Z43" s="5"/>
      <c r="AA43" s="5"/>
      <c r="AB43" s="5"/>
      <c r="AC43" s="5">
        <v>15.2</v>
      </c>
      <c r="AD43" s="33">
        <v>33</v>
      </c>
      <c r="AE43" s="5">
        <f>IF(AD43=0,(W43+4*X43+2*Y43+4*Z43+AA43)*AC43/12+W43*AB43/1.5,AD43)</f>
        <v>33</v>
      </c>
      <c r="AF43" s="11">
        <v>15.5</v>
      </c>
      <c r="AG43" s="11"/>
      <c r="AH43" s="5">
        <f>IF(AC43=0,AE43+AF43*AG43/2,AE43+AC43*AG43/2)</f>
        <v>33</v>
      </c>
      <c r="AI43" s="5">
        <v>12.75</v>
      </c>
      <c r="AJ43" s="3"/>
      <c r="AK43" s="33">
        <v>23.3</v>
      </c>
      <c r="AL43" s="5">
        <f>IF(AK43=0,AI43*AJ43/2,AK43)</f>
        <v>23.3</v>
      </c>
      <c r="AM43" s="3"/>
      <c r="AN43" s="5"/>
      <c r="AO43" s="5">
        <v>0.08</v>
      </c>
      <c r="AP43" s="5">
        <f>AL43+AI43*(AN43-AO43)/2</f>
        <v>22.79</v>
      </c>
      <c r="AQ43" s="5">
        <f>0.1*(AE43+AL43)</f>
        <v>5.63</v>
      </c>
      <c r="AR43" s="11">
        <v>16</v>
      </c>
      <c r="AS43" s="11"/>
      <c r="AT43" s="11"/>
      <c r="AU43" s="11"/>
      <c r="AV43" s="33">
        <v>0</v>
      </c>
      <c r="AW43" s="5">
        <f>IF(AV43=0,AS43/6*(AT43+AU43*4),AV43)</f>
        <v>0</v>
      </c>
      <c r="AX43" s="11">
        <v>0</v>
      </c>
      <c r="AY43" s="5">
        <f>IF(AX43&lt;0.149*M43+0.329,1,AX43/(0.149*M43+0.329))</f>
        <v>1</v>
      </c>
      <c r="AZ43" s="5">
        <f>IF(AW43*AY43&gt;AL43,(AW43*AY43-AL43)/4,0)</f>
        <v>0</v>
      </c>
      <c r="BA43" s="12">
        <f>0.401+0.1831*(2*AR43^2/(AH43+AP43+AZ43))-0.02016*(2*AR43^2/(AH43+AP43+AZ43))^2+0.0007472*(2*AR43^2/(AH43+AP43+AZ43))^3</f>
        <v>0.9609706608625004</v>
      </c>
      <c r="BB43" s="3"/>
      <c r="BC43" s="3"/>
      <c r="BD43" s="3"/>
      <c r="BE43" s="3"/>
      <c r="BF43" s="33">
        <v>83</v>
      </c>
      <c r="BG43" s="5">
        <f>IF(BF43=0,(BC43+BD43)*(BB43/12+BE43/3),BF43)</f>
        <v>83</v>
      </c>
      <c r="BH43" s="5">
        <f>IF(BG43*AY43&gt;AL43+AZ43,BG43*AY43-AL43-AZ43,0)</f>
        <v>59.7</v>
      </c>
      <c r="BI43" s="5">
        <f>IF(M43/1.6&lt;8,ROUND(M43/1.6,0),8)</f>
        <v>7</v>
      </c>
      <c r="BJ43" s="5">
        <f>(AH43+AP43+AZ43)*BA43+0.1*BH43</f>
        <v>59.5825531695189</v>
      </c>
      <c r="BK43" s="11">
        <v>1.75</v>
      </c>
      <c r="BL43" s="5">
        <f>M43*0.2</f>
        <v>2.244</v>
      </c>
      <c r="BM43" s="5">
        <f>ROUNDDOWN(M43/2.13,0)</f>
        <v>5</v>
      </c>
      <c r="BN43" s="12">
        <f>M43/4.26</f>
        <v>2.633802816901409</v>
      </c>
      <c r="BO43" s="5">
        <f>IF(M43&lt;8,1.22,IF(M43&lt;15.2,0.108333*M43+0.353,2))</f>
        <v>1.56849626</v>
      </c>
      <c r="BP43" s="12">
        <f>IF(BK43&lt;BO43,1+0.3*(BO43-BK43)/M43,1)</f>
        <v>1</v>
      </c>
      <c r="BQ43" s="39">
        <v>5</v>
      </c>
      <c r="BR43" s="39">
        <v>1</v>
      </c>
      <c r="BS43" s="36"/>
      <c r="BT43" t="s" s="24">
        <v>154</v>
      </c>
      <c r="BU43" s="36"/>
      <c r="BV43" s="5">
        <f>IF(BQ43&lt;(M43/0.3048)^0.5,1,IF(BU43="x",1-BR43*0.02,IF(BT43="x",1-BR43*0.01,1)))</f>
        <v>1</v>
      </c>
      <c r="BW43" s="12">
        <f>IF(K43="x",MIN(1.315,1.28+U43*N43/BJ43/AR43/1100),IF(L43="x",1.28,MAX(1.245,1.28-U43*N43/BJ43/AR43/1100)))</f>
        <v>1.305032114157375</v>
      </c>
      <c r="BX43" s="41">
        <f>BW43*T43*BV43*BP43*N43^0.3*BJ43^0.4/V43^0.325</f>
        <v>1.060892444021745</v>
      </c>
      <c r="BY43" s="29"/>
      <c r="BZ43" s="29"/>
      <c r="CA43" s="3"/>
      <c r="CB43" s="3"/>
      <c r="CC43" s="3"/>
      <c r="CD43" s="3"/>
      <c r="CE43" s="3"/>
      <c r="CF43" s="3"/>
      <c r="CG43" t="s" s="30">
        <f>A43</f>
        <v>423</v>
      </c>
    </row>
    <row r="44" ht="12.75" customHeight="1">
      <c r="A44" t="s" s="25">
        <v>424</v>
      </c>
      <c r="B44" t="s" s="19">
        <v>425</v>
      </c>
      <c r="C44" t="s" s="19">
        <v>426</v>
      </c>
      <c r="D44" t="s" s="19">
        <v>427</v>
      </c>
      <c r="E44" t="s" s="19">
        <v>428</v>
      </c>
      <c r="F44" s="3"/>
      <c r="G44" s="42">
        <v>5</v>
      </c>
      <c r="H44" s="32"/>
      <c r="I44" s="32"/>
      <c r="J44" t="s" s="24">
        <v>154</v>
      </c>
      <c r="K44" s="36"/>
      <c r="L44" s="36"/>
      <c r="M44" s="11">
        <v>8.5</v>
      </c>
      <c r="N44" s="5">
        <v>8.5</v>
      </c>
      <c r="O44" s="11">
        <v>5.2</v>
      </c>
      <c r="P44" s="11"/>
      <c r="Q44" s="37"/>
      <c r="R44" t="s" s="24">
        <v>429</v>
      </c>
      <c r="S44" s="36"/>
      <c r="T44" s="38">
        <f>IF(S44&gt;0,1.048,IF(R44&gt;0,1.048,IF(Q44&gt;0,1.036,0.907+1.55*(P44/N44)-4.449*(P44/N44)^2)))</f>
        <v>1.048</v>
      </c>
      <c r="U44" s="39">
        <v>885</v>
      </c>
      <c r="V44" s="40">
        <f>IF(H44="x",75+U44,IF(M44&lt;6.66,150+U44,-1.7384*M44^2+92.38*M44-388+U44))</f>
        <v>1156.6306</v>
      </c>
      <c r="W44" s="5"/>
      <c r="X44" s="5"/>
      <c r="Y44" s="5"/>
      <c r="Z44" s="5"/>
      <c r="AA44" s="5"/>
      <c r="AB44" s="5"/>
      <c r="AC44" s="5">
        <v>13.8</v>
      </c>
      <c r="AD44" s="33">
        <v>41</v>
      </c>
      <c r="AE44" s="5">
        <f>IF(AD44=0,(W44+4*X44+2*Y44+4*Z44+AA44)*AC44/12+W44*AB44/1.5,AD44)</f>
        <v>41</v>
      </c>
      <c r="AF44" s="11">
        <v>14.7</v>
      </c>
      <c r="AG44" s="11">
        <v>0.6</v>
      </c>
      <c r="AH44" s="5">
        <f>IF(AC44=0,AE44+AF44*AG44/2,AE44+AC44*AG44/2)</f>
        <v>45.14</v>
      </c>
      <c r="AI44" s="3"/>
      <c r="AJ44" s="3"/>
      <c r="AK44" s="33">
        <v>11</v>
      </c>
      <c r="AL44" s="5">
        <f>IF(AK44=0,AI44*AJ44/2,AK44)</f>
        <v>11</v>
      </c>
      <c r="AM44" s="3"/>
      <c r="AN44" s="5"/>
      <c r="AO44" s="5"/>
      <c r="AP44" s="5">
        <f>AL44+AI44*(AN44-AO44)/2</f>
        <v>11</v>
      </c>
      <c r="AQ44" s="5">
        <f>0.1*(AE44+AL44)</f>
        <v>5.2</v>
      </c>
      <c r="AR44" s="11">
        <v>14.7</v>
      </c>
      <c r="AS44" s="11"/>
      <c r="AT44" s="11"/>
      <c r="AU44" s="11"/>
      <c r="AV44" s="33">
        <v>0</v>
      </c>
      <c r="AW44" s="5">
        <f>IF(AV44=0,AS44/6*(AT44+AU44*4),AV44)</f>
        <v>0</v>
      </c>
      <c r="AX44" s="11">
        <v>1.5</v>
      </c>
      <c r="AY44" s="5">
        <f>IF(AX44&lt;0.149*M44+0.329,1,AX44/(0.149*M44+0.329))</f>
        <v>1</v>
      </c>
      <c r="AZ44" s="5">
        <f>IF(AW44*AY44&gt;AL44,(AW44*AY44-AL44)/4,0)</f>
        <v>0</v>
      </c>
      <c r="BA44" s="12">
        <f>0.401+0.1831*(2*AR44^2/(AH44+AP44+AZ44))-0.02016*(2*AR44^2/(AH44+AP44+AZ44))^2+0.0007472*(2*AR44^2/(AH44+AP44+AZ44))^3</f>
        <v>0.9566953771270732</v>
      </c>
      <c r="BB44" s="3"/>
      <c r="BC44" s="3"/>
      <c r="BD44" s="3"/>
      <c r="BE44" s="3"/>
      <c r="BF44" s="33">
        <v>47</v>
      </c>
      <c r="BG44" s="5">
        <f>IF(BF44=0,(BC44+BD44)*(BB44/12+BE44/3),BF44)</f>
        <v>47</v>
      </c>
      <c r="BH44" s="5">
        <f>IF(BG44*AY44&gt;AL44+AZ44,BG44*AY44-AL44-AZ44,0)</f>
        <v>36</v>
      </c>
      <c r="BI44" s="5">
        <f>IF(M44/1.6&lt;8,ROUND(M44/1.6,0),8)</f>
        <v>5</v>
      </c>
      <c r="BJ44" s="5">
        <f>(AH44+AP44+AZ44)*BA44+0.1*BH44</f>
        <v>57.30887847191389</v>
      </c>
      <c r="BK44" s="11">
        <v>1.22</v>
      </c>
      <c r="BL44" s="5">
        <f>M44*0.2</f>
        <v>1.7</v>
      </c>
      <c r="BM44" s="5">
        <f>ROUNDDOWN(M44/2.13,0)</f>
        <v>3</v>
      </c>
      <c r="BN44" s="12">
        <f>M44/4.26</f>
        <v>1.995305164319249</v>
      </c>
      <c r="BO44" s="5">
        <f>IF(M44&lt;8,1.22,IF(M44&lt;15.2,0.108333*M44+0.353,2))</f>
        <v>1.2738305</v>
      </c>
      <c r="BP44" s="12">
        <f>IF(BK44&lt;BO44,1+0.3*(BO44-BK44)/M44,1)</f>
        <v>1.0018999</v>
      </c>
      <c r="BQ44" s="32"/>
      <c r="BR44" s="39">
        <v>0</v>
      </c>
      <c r="BS44" t="s" s="24">
        <v>154</v>
      </c>
      <c r="BT44" s="36"/>
      <c r="BU44" s="36"/>
      <c r="BV44" s="5">
        <f>IF(BQ44&lt;(M44/0.3048)^0.5,1,IF(BU44="x",1-BR44*0.02,IF(BT44="x",1-BR44*0.01,1)))</f>
        <v>1</v>
      </c>
      <c r="BW44" s="12">
        <f>IF(K44="x",MIN(1.315,1.28+U44*N44/BJ44/AR44/1100),IF(L44="x",1.28,MAX(1.245,1.28-U44*N44/BJ44/AR44/1100)))</f>
        <v>1.271882351033994</v>
      </c>
      <c r="BX44" s="41">
        <f>BW44*T44*BV44*BP44*N44^0.3*BJ44^0.4/V44^0.325</f>
        <v>1.294817999773127</v>
      </c>
      <c r="BY44" s="29"/>
      <c r="BZ44" s="29"/>
      <c r="CA44" t="s" s="19">
        <v>162</v>
      </c>
      <c r="CB44" t="s" s="19">
        <v>430</v>
      </c>
      <c r="CC44" t="s" s="19">
        <v>254</v>
      </c>
      <c r="CD44" t="s" s="19">
        <v>340</v>
      </c>
      <c r="CE44" s="3"/>
      <c r="CF44" s="3"/>
      <c r="CG44" t="s" s="30">
        <f>A44</f>
        <v>431</v>
      </c>
    </row>
    <row r="45" ht="12.75" customHeight="1">
      <c r="A45" t="s" s="25">
        <v>432</v>
      </c>
      <c r="B45" t="s" s="19">
        <v>360</v>
      </c>
      <c r="C45" t="s" s="19">
        <v>361</v>
      </c>
      <c r="D45" t="s" s="19">
        <v>433</v>
      </c>
      <c r="E45" t="s" s="19">
        <v>434</v>
      </c>
      <c r="F45" t="s" s="19">
        <v>435</v>
      </c>
      <c r="G45" s="42">
        <v>11</v>
      </c>
      <c r="H45" s="32"/>
      <c r="I45" s="32"/>
      <c r="J45" s="36"/>
      <c r="K45" t="s" s="24">
        <v>154</v>
      </c>
      <c r="L45" s="36"/>
      <c r="M45" s="11">
        <v>9.140000000000001</v>
      </c>
      <c r="N45" s="5">
        <v>9.140000000000001</v>
      </c>
      <c r="O45" s="11">
        <v>6.6</v>
      </c>
      <c r="P45" s="11"/>
      <c r="Q45" s="37"/>
      <c r="R45" t="s" s="24">
        <v>364</v>
      </c>
      <c r="S45" s="36"/>
      <c r="T45" s="38">
        <f>IF(S45&gt;0,1.048,IF(R45&gt;0,1.048,IF(Q45&gt;0,1.036,0.907+1.55*(P45/N45)-4.449*(P45/N45)^2)))</f>
        <v>1.048</v>
      </c>
      <c r="U45" s="39">
        <v>1020</v>
      </c>
      <c r="V45" s="40">
        <f>IF(H45="x",75+U45,IF(M45&lt;6.66,150+U45,-1.7384*M45^2+92.38*M45-388+U45))</f>
        <v>1331.12795936</v>
      </c>
      <c r="W45" s="5"/>
      <c r="X45" s="5"/>
      <c r="Y45" s="5"/>
      <c r="Z45" s="5"/>
      <c r="AA45" s="5"/>
      <c r="AB45" s="5"/>
      <c r="AC45" s="5">
        <v>14.23</v>
      </c>
      <c r="AD45" s="33">
        <v>41.14</v>
      </c>
      <c r="AE45" s="5">
        <f>IF(AD45=0,(W45+4*X45+2*Y45+4*Z45+AA45)*AC45/12+W45*AB45/1.5,AD45)</f>
        <v>41.14</v>
      </c>
      <c r="AF45" s="11">
        <v>15.24</v>
      </c>
      <c r="AG45" s="11">
        <v>0.59</v>
      </c>
      <c r="AH45" s="5">
        <f>IF(AC45=0,AE45+AF45*AG45/2,AE45+AC45*AG45/2)</f>
        <v>45.33785</v>
      </c>
      <c r="AI45" s="5">
        <v>11.31</v>
      </c>
      <c r="AJ45" s="3"/>
      <c r="AK45" s="33">
        <v>17.13</v>
      </c>
      <c r="AL45" s="5">
        <f>IF(AK45=0,AI45*AJ45/2,AK45)</f>
        <v>17.13</v>
      </c>
      <c r="AM45" t="s" s="19">
        <v>154</v>
      </c>
      <c r="AN45" s="5"/>
      <c r="AO45" s="5"/>
      <c r="AP45" s="5">
        <f>AL45+AI45*(AN45-AO45)/2</f>
        <v>17.13</v>
      </c>
      <c r="AQ45" s="5">
        <f>0.1*(AE45+AL45)</f>
        <v>5.827</v>
      </c>
      <c r="AR45" s="11">
        <v>15.55</v>
      </c>
      <c r="AS45" s="11"/>
      <c r="AT45" s="11"/>
      <c r="AU45" s="11"/>
      <c r="AV45" s="33">
        <v>55</v>
      </c>
      <c r="AW45" s="5">
        <f>IF(AV45=0,AS45/6*(AT45+AU45*4),AV45)</f>
        <v>55</v>
      </c>
      <c r="AX45" s="11">
        <v>1.75</v>
      </c>
      <c r="AY45" s="5">
        <f>IF(AX45&lt;0.149*M45+0.329,1,AX45/(0.149*M45+0.329))</f>
        <v>1.034976284257715</v>
      </c>
      <c r="AZ45" s="5">
        <f>IF(AW45*AY45&gt;AL45,(AW45*AY45-AL45)/4,0)</f>
        <v>9.948423908543582</v>
      </c>
      <c r="BA45" s="12">
        <f>0.401+0.1831*(2*AR45^2/(AH45+AP45+AZ45))-0.02016*(2*AR45^2/(AH45+AP45+AZ45))^2+0.0007472*(2*AR45^2/(AH45+AP45+AZ45))^3</f>
        <v>0.9472181654459608</v>
      </c>
      <c r="BB45" s="3"/>
      <c r="BC45" s="3"/>
      <c r="BD45" s="3"/>
      <c r="BE45" s="3"/>
      <c r="BF45" s="33"/>
      <c r="BG45" s="5">
        <f>IF(BF45=0,(BC45+BD45)*(BB45/12+BE45/3),BF45)</f>
        <v>0</v>
      </c>
      <c r="BH45" s="5">
        <f>IF(BG45*AY45&gt;AL45+AZ45,BG45*AY45-AL45-AZ45,0)</f>
        <v>0</v>
      </c>
      <c r="BI45" s="5">
        <f>IF(M45/1.6&lt;8,ROUND(M45/1.6,0),8)</f>
        <v>6</v>
      </c>
      <c r="BJ45" s="5">
        <f>(AH45+AP45+AZ45)*BA45+0.1*BH45</f>
        <v>68.59401012008286</v>
      </c>
      <c r="BK45" s="11">
        <v>1.75</v>
      </c>
      <c r="BL45" s="5">
        <f>M45*0.2</f>
        <v>1.828</v>
      </c>
      <c r="BM45" s="5">
        <f>ROUNDDOWN(M45/2.13,0)</f>
        <v>4</v>
      </c>
      <c r="BN45" s="12">
        <f>M45/4.26</f>
        <v>2.145539906103286</v>
      </c>
      <c r="BO45" s="5">
        <f>IF(M45&lt;8,1.22,IF(M45&lt;15.2,0.108333*M45+0.353,2))</f>
        <v>1.34316362</v>
      </c>
      <c r="BP45" s="12">
        <f>IF(BK45&lt;BO45,1+0.3*(BO45-BK45)/M45,1)</f>
        <v>1</v>
      </c>
      <c r="BQ45" s="39">
        <v>7</v>
      </c>
      <c r="BR45" s="39">
        <v>1</v>
      </c>
      <c r="BS45" t="s" s="24">
        <v>154</v>
      </c>
      <c r="BT45" s="36"/>
      <c r="BU45" s="36"/>
      <c r="BV45" s="5">
        <f>IF(BQ45&lt;(M45/0.3048)^0.5,1,IF(BU45="x",1-BR45*0.02,IF(BT45="x",1-BR45*0.01,1)))</f>
        <v>1</v>
      </c>
      <c r="BW45" s="12">
        <f>IF(K45="x",MIN(1.315,1.28+U45*N45/BJ45/AR45/1100),IF(L45="x",1.28,MAX(1.245,1.28-U45*N45/BJ45/AR45/1100)))</f>
        <v>1.287945790236606</v>
      </c>
      <c r="BX45" s="41">
        <f>BW45*T45*BV45*BP45*N45^0.3*BJ45^0.4/V45^0.325</f>
        <v>1.373048144991614</v>
      </c>
      <c r="BY45" s="29"/>
      <c r="BZ45" s="29"/>
      <c r="CA45" t="s" s="19">
        <v>188</v>
      </c>
      <c r="CB45" t="s" s="19">
        <v>436</v>
      </c>
      <c r="CC45" t="s" s="19">
        <v>180</v>
      </c>
      <c r="CD45" s="3"/>
      <c r="CE45" s="3"/>
      <c r="CF45" s="3"/>
      <c r="CG45" t="s" s="30">
        <f>A45</f>
        <v>437</v>
      </c>
    </row>
    <row r="46" ht="12.75" customHeight="1">
      <c r="A46" t="s" s="25">
        <v>438</v>
      </c>
      <c r="B46" t="s" s="19">
        <v>439</v>
      </c>
      <c r="C46" t="s" s="19">
        <v>213</v>
      </c>
      <c r="D46" t="s" s="19">
        <v>440</v>
      </c>
      <c r="E46" t="s" s="19">
        <v>441</v>
      </c>
      <c r="F46" s="3"/>
      <c r="G46" s="3"/>
      <c r="H46" s="32"/>
      <c r="I46" s="32"/>
      <c r="J46" t="s" s="24">
        <v>154</v>
      </c>
      <c r="K46" s="36"/>
      <c r="L46" s="36"/>
      <c r="M46" s="11">
        <v>15.3</v>
      </c>
      <c r="N46" s="5">
        <v>15.3</v>
      </c>
      <c r="O46" s="11">
        <v>8.4</v>
      </c>
      <c r="P46" s="11"/>
      <c r="Q46" s="37"/>
      <c r="R46" t="s" s="24">
        <v>442</v>
      </c>
      <c r="S46" s="36"/>
      <c r="T46" s="38">
        <f>IF(S46&gt;0,1.048,IF(R46&gt;0,1.048,IF(Q46&gt;0,1.036,0.907+1.55*(P46/N46)-4.449*(P46/N46)^2)))</f>
        <v>1.048</v>
      </c>
      <c r="U46" s="39">
        <v>8500</v>
      </c>
      <c r="V46" s="40">
        <f>IF(H46="x",75+U46,IF(M46&lt;6.66,150+U46,-1.7384*M46^2+92.38*M46-388+U46))</f>
        <v>9118.471944000001</v>
      </c>
      <c r="W46" s="5"/>
      <c r="X46" s="5"/>
      <c r="Y46" s="5"/>
      <c r="Z46" s="5"/>
      <c r="AA46" s="5"/>
      <c r="AB46" s="5"/>
      <c r="AC46" s="5">
        <v>19.9</v>
      </c>
      <c r="AD46" s="33">
        <v>95</v>
      </c>
      <c r="AE46" s="5">
        <f>IF(AD46=0,(W46+4*X46+2*Y46+4*Z46+AA46)*AC46/12+W46*AB46/1.5,AD46)</f>
        <v>95</v>
      </c>
      <c r="AF46" s="11">
        <v>20.7</v>
      </c>
      <c r="AG46" s="11">
        <v>1.38</v>
      </c>
      <c r="AH46" s="5">
        <f>IF(AC46=0,AE46+AF46*AG46/2,AE46+AC46*AG46/2)</f>
        <v>108.731</v>
      </c>
      <c r="AI46" s="5">
        <v>18.3</v>
      </c>
      <c r="AJ46" s="3"/>
      <c r="AK46" s="33">
        <v>57</v>
      </c>
      <c r="AL46" s="5">
        <f>IF(AK46=0,AI46*AJ46/2,AK46)</f>
        <v>57</v>
      </c>
      <c r="AM46" s="3"/>
      <c r="AN46" s="5"/>
      <c r="AO46" s="5">
        <v>0.174</v>
      </c>
      <c r="AP46" s="5">
        <f>AL46+AI46*(AN46-AO46)/2</f>
        <v>55.4079</v>
      </c>
      <c r="AQ46" s="5">
        <f>0.1*(AE46+AL46)</f>
        <v>15.2</v>
      </c>
      <c r="AR46" s="11">
        <v>21.5</v>
      </c>
      <c r="AS46" s="11"/>
      <c r="AT46" s="11"/>
      <c r="AU46" s="11"/>
      <c r="AV46" s="33">
        <v>100</v>
      </c>
      <c r="AW46" s="5">
        <f>IF(AV46=0,AS46/6*(AT46+AU46*4),AV46)</f>
        <v>100</v>
      </c>
      <c r="AX46" s="11">
        <v>1.33</v>
      </c>
      <c r="AY46" s="5">
        <f>IF(AX46&lt;0.149*M46+0.329,1,AX46/(0.149*M46+0.329))</f>
        <v>1</v>
      </c>
      <c r="AZ46" s="5">
        <f>IF(AW46*AY46&gt;AL46,(AW46*AY46-AL46)/4,0)</f>
        <v>10.75</v>
      </c>
      <c r="BA46" s="12">
        <f>0.401+0.1831*(2*AR46^2/(AH46+AP46+AZ46))-0.02016*(2*AR46^2/(AH46+AP46+AZ46))^2+0.0007472*(2*AR46^2/(AH46+AP46+AZ46))^3</f>
        <v>0.9159286303056875</v>
      </c>
      <c r="BB46" s="3"/>
      <c r="BC46" s="3"/>
      <c r="BD46" s="3"/>
      <c r="BE46" s="3"/>
      <c r="BF46" s="33">
        <v>192</v>
      </c>
      <c r="BG46" s="5">
        <f>IF(BF46=0,(BC46+BD46)*(BB46/12+BE46/3),BF46)</f>
        <v>192</v>
      </c>
      <c r="BH46" s="5">
        <f>IF(BG46*AY46&gt;AL46+AZ46,BG46*AY46-AL46-AZ46,0)</f>
        <v>124.25</v>
      </c>
      <c r="BI46" s="42">
        <f>IF(M46/1.6&lt;8,ROUND(M46/1.6,0),8)</f>
        <v>8</v>
      </c>
      <c r="BJ46" s="5">
        <f>(AH46+AP46+AZ46)*BA46+0.1*BH46</f>
        <v>172.6107506326683</v>
      </c>
      <c r="BK46" s="11">
        <v>2</v>
      </c>
      <c r="BL46" s="5">
        <f>M46*0.2</f>
        <v>3.06</v>
      </c>
      <c r="BM46" s="5">
        <f>ROUNDDOWN(M46/2.13,0)</f>
        <v>7</v>
      </c>
      <c r="BN46" s="12">
        <f>M46/4.26</f>
        <v>3.591549295774648</v>
      </c>
      <c r="BO46" s="5">
        <f>IF(M46&lt;8,1.22,IF(M46&lt;15.2,0.108333*M46+0.353,2))</f>
        <v>2</v>
      </c>
      <c r="BP46" s="12">
        <f>IF(BK46&lt;BO46,1+0.3*(BO46-BK46)/M46,1)</f>
        <v>1</v>
      </c>
      <c r="BQ46" s="39">
        <v>12</v>
      </c>
      <c r="BR46" s="39">
        <v>2</v>
      </c>
      <c r="BS46" s="36"/>
      <c r="BT46" t="s" s="24">
        <v>154</v>
      </c>
      <c r="BU46" s="36"/>
      <c r="BV46" s="5">
        <f>IF(BQ46&lt;(M46/0.3048)^0.5,1,IF(BU46="x",1-BR46*0.02,IF(BT46="x",1-BR46*0.01,1)))</f>
        <v>0.98</v>
      </c>
      <c r="BW46" s="12">
        <f>IF(K46="x",MIN(1.315,1.28+U46*N46/BJ46/AR46/1100),IF(L46="x",1.28,MAX(1.245,1.28-U46*N46/BJ46/AR46/1100)))</f>
        <v>1.248142523583309</v>
      </c>
      <c r="BX46" s="41">
        <f>BW46*T46*BV46*BP46*N46^0.3*BJ46^0.4/V46^0.325</f>
        <v>1.17790816486975</v>
      </c>
      <c r="BY46" s="29"/>
      <c r="BZ46" s="29"/>
      <c r="CA46" t="s" s="19">
        <v>213</v>
      </c>
      <c r="CB46" t="s" s="19">
        <v>443</v>
      </c>
      <c r="CC46" t="s" s="19">
        <v>385</v>
      </c>
      <c r="CD46" s="3"/>
      <c r="CE46" s="3"/>
      <c r="CF46" s="3"/>
      <c r="CG46" t="s" s="30">
        <f>A46</f>
        <v>444</v>
      </c>
    </row>
    <row r="47" ht="12.75" customHeight="1">
      <c r="A47" t="s" s="25">
        <v>445</v>
      </c>
      <c r="B47" t="s" s="19">
        <v>192</v>
      </c>
      <c r="C47" t="s" s="19">
        <v>193</v>
      </c>
      <c r="D47" t="s" s="19">
        <v>193</v>
      </c>
      <c r="E47" t="s" s="19">
        <v>446</v>
      </c>
      <c r="F47" t="s" s="19">
        <v>447</v>
      </c>
      <c r="G47" t="s" s="19">
        <v>448</v>
      </c>
      <c r="H47" s="32"/>
      <c r="I47" s="32"/>
      <c r="J47" s="36"/>
      <c r="K47" t="s" s="24">
        <v>154</v>
      </c>
      <c r="L47" s="36"/>
      <c r="M47" s="11">
        <v>9.199999999999999</v>
      </c>
      <c r="N47" s="5">
        <v>9.01</v>
      </c>
      <c r="O47" s="11">
        <v>7.8</v>
      </c>
      <c r="P47" s="11"/>
      <c r="Q47" s="37"/>
      <c r="R47" t="s" s="24">
        <v>197</v>
      </c>
      <c r="S47" s="36"/>
      <c r="T47" s="38">
        <f>IF(S47&gt;0,1.048,IF(R47&gt;0,1.048,IF(Q47&gt;0,1.036,0.907+1.55*(P47/N47)-4.449*(P47/N47)^2)))</f>
        <v>1.048</v>
      </c>
      <c r="U47" s="39">
        <v>2450</v>
      </c>
      <c r="V47" s="40">
        <f>IF(H47="x",75+U47,IF(M47&lt;6.66,150+U47,-1.7384*M47^2+92.38*M47-388+U47))</f>
        <v>2764.757824</v>
      </c>
      <c r="W47" s="5"/>
      <c r="X47" s="5"/>
      <c r="Y47" s="5"/>
      <c r="Z47" s="5"/>
      <c r="AA47" s="5"/>
      <c r="AB47" s="5"/>
      <c r="AC47" s="5"/>
      <c r="AD47" s="33">
        <v>43.28</v>
      </c>
      <c r="AE47" s="5">
        <f>IF(AD47=0,(W47+4*X47+2*Y47+4*Z47+AA47)*AC47/12+W47*AB47/1.5,AD47)</f>
        <v>43.28</v>
      </c>
      <c r="AF47" s="11">
        <v>14.6</v>
      </c>
      <c r="AG47" s="11"/>
      <c r="AH47" s="5">
        <f>IF(AC47=0,AE47+AF47*AG47/2,AE47+AC47*AG47/2)</f>
        <v>43.28</v>
      </c>
      <c r="AI47" s="5">
        <v>12.8</v>
      </c>
      <c r="AJ47" s="3"/>
      <c r="AK47" s="33">
        <v>25.98</v>
      </c>
      <c r="AL47" s="5">
        <f>IF(AK47=0,AI47*AJ47/2,AK47)</f>
        <v>25.98</v>
      </c>
      <c r="AM47" s="3"/>
      <c r="AN47" s="5"/>
      <c r="AO47" s="5">
        <v>0.18</v>
      </c>
      <c r="AP47" s="5">
        <f>AL47+AI47*(AN47-AO47)/2</f>
        <v>24.828</v>
      </c>
      <c r="AQ47" s="5">
        <f>0.1*(AE47+AL47)</f>
        <v>6.926000000000001</v>
      </c>
      <c r="AR47" s="11">
        <v>14.9</v>
      </c>
      <c r="AS47" s="11"/>
      <c r="AT47" s="11"/>
      <c r="AU47" s="11"/>
      <c r="AV47" s="33"/>
      <c r="AW47" s="5">
        <f>IF(AV47=0,AS47/6*(AT47+AU47*4),AV47)</f>
        <v>0</v>
      </c>
      <c r="AX47" s="11">
        <v>1.75</v>
      </c>
      <c r="AY47" s="5">
        <f>IF(AX47&lt;0.149*M47+0.329,1,AX47/(0.149*M47+0.329))</f>
        <v>1.029532886221909</v>
      </c>
      <c r="AZ47" s="5">
        <f>IF(AW47*AY47&gt;AL47,(AW47*AY47-AL47)/4,0)</f>
        <v>0</v>
      </c>
      <c r="BA47" s="12">
        <f>0.401+0.1831*(2*AR47^2/(AH47+AP47+AZ47))-0.02016*(2*AR47^2/(AH47+AP47+AZ47))^2+0.0007472*(2*AR47^2/(AH47+AP47+AZ47))^3</f>
        <v>0.944892066700399</v>
      </c>
      <c r="BB47" s="3"/>
      <c r="BC47" s="3"/>
      <c r="BD47" s="3"/>
      <c r="BE47" s="3"/>
      <c r="BF47" s="33">
        <v>81.81</v>
      </c>
      <c r="BG47" s="5">
        <f>IF(BF47=0,(BC47+BD47)*(BB47/12+BE47/3),BF47)</f>
        <v>81.81</v>
      </c>
      <c r="BH47" s="5">
        <f>IF(BG47*AY47&gt;AL47+AZ47,BG47*AY47-AL47-AZ47,0)</f>
        <v>58.24608542181434</v>
      </c>
      <c r="BI47" s="5">
        <f>IF(M47/1.6&lt;8,ROUND(M47/1.6,0),8)</f>
        <v>6</v>
      </c>
      <c r="BJ47" s="5">
        <f>(AH47+AP47+AZ47)*BA47+0.1*BH47</f>
        <v>70.17931742101221</v>
      </c>
      <c r="BK47" s="11">
        <v>1.8</v>
      </c>
      <c r="BL47" s="5">
        <f>M47*0.2</f>
        <v>1.84</v>
      </c>
      <c r="BM47" s="5">
        <f>ROUNDDOWN(M47/2.13,0)</f>
        <v>4</v>
      </c>
      <c r="BN47" s="12">
        <f>M47/4.26</f>
        <v>2.15962441314554</v>
      </c>
      <c r="BO47" s="5">
        <f>IF(M47&lt;8,1.22,IF(M47&lt;15.2,0.108333*M47+0.353,2))</f>
        <v>1.3496636</v>
      </c>
      <c r="BP47" s="12">
        <f>IF(BK47&lt;BO47,1+0.3*(BO47-BK47)/M47,1)</f>
        <v>1</v>
      </c>
      <c r="BQ47" s="39">
        <v>5.5</v>
      </c>
      <c r="BR47" s="39">
        <v>1</v>
      </c>
      <c r="BS47" s="36"/>
      <c r="BT47" s="36"/>
      <c r="BU47" t="s" s="24">
        <v>154</v>
      </c>
      <c r="BV47" s="5">
        <f>IF(BQ47&lt;(M47/0.3048)^0.5,1,IF(BU47="x",1-BR47*0.02,IF(BT47="x",1-BR47*0.01,1)))</f>
        <v>0.98</v>
      </c>
      <c r="BW47" s="12">
        <f>IF(K47="x",MIN(1.315,1.28+U47*N47/BJ47/AR47/1100),IF(L47="x",1.28,MAX(1.245,1.28-U47*N47/BJ47/AR47/1100)))</f>
        <v>1.299191228744223</v>
      </c>
      <c r="BX47" s="41">
        <f>BW47*T47*BV47*BP47*N47^0.3*BJ47^0.4/V47^0.325</f>
        <v>1.07553110585628</v>
      </c>
      <c r="BY47" s="29"/>
      <c r="BZ47" s="29"/>
      <c r="CA47" t="s" s="19">
        <v>188</v>
      </c>
      <c r="CB47" s="46">
        <v>40487</v>
      </c>
      <c r="CC47" t="s" s="19">
        <v>254</v>
      </c>
      <c r="CD47" t="s" s="19">
        <v>449</v>
      </c>
      <c r="CE47" s="3"/>
      <c r="CF47" s="3"/>
      <c r="CG47" t="s" s="30">
        <f>A47</f>
        <v>450</v>
      </c>
    </row>
    <row r="48" ht="12.75" customHeight="1">
      <c r="A48" t="s" s="25">
        <v>451</v>
      </c>
      <c r="B48" t="s" s="19">
        <v>452</v>
      </c>
      <c r="C48" t="s" s="19">
        <v>361</v>
      </c>
      <c r="D48" t="s" s="19">
        <v>453</v>
      </c>
      <c r="E48" t="s" s="19">
        <v>454</v>
      </c>
      <c r="F48" t="s" s="19">
        <v>455</v>
      </c>
      <c r="G48" s="3"/>
      <c r="H48" s="32"/>
      <c r="I48" s="32"/>
      <c r="J48" t="s" s="24">
        <v>154</v>
      </c>
      <c r="K48" s="36"/>
      <c r="L48" s="36"/>
      <c r="M48" s="11">
        <v>18.5</v>
      </c>
      <c r="N48" s="5">
        <f>(18.5+17.5)/2</f>
        <v>18</v>
      </c>
      <c r="O48" s="11">
        <v>9.24</v>
      </c>
      <c r="P48" s="11">
        <v>1.78</v>
      </c>
      <c r="Q48" s="37"/>
      <c r="R48" s="36"/>
      <c r="S48" s="36"/>
      <c r="T48" s="38">
        <f>IF(S48&gt;0,1.048,IF(R48&gt;0,1.048,IF(Q48&gt;0,1.036,0.907+1.55*(P48/N48)-4.449*(P48/N48)^2)))</f>
        <v>1.016770951851852</v>
      </c>
      <c r="U48" s="39">
        <v>26500</v>
      </c>
      <c r="V48" s="40">
        <f>IF(H48="x",75+U48,IF(M48&lt;6.66,150+U48,-1.7384*M48^2+92.38*M48-388+U48))</f>
        <v>27226.0626</v>
      </c>
      <c r="W48" s="5"/>
      <c r="X48" s="5"/>
      <c r="Y48" s="5"/>
      <c r="Z48" s="5"/>
      <c r="AA48" s="5"/>
      <c r="AB48" s="5"/>
      <c r="AC48" s="5"/>
      <c r="AD48" s="33">
        <v>120</v>
      </c>
      <c r="AE48" s="5">
        <f>IF(AD48=0,(W48+4*X48+2*Y48+4*Z48+AA48)*AC48/12+W48*AB48/1.5,AD48)</f>
        <v>120</v>
      </c>
      <c r="AF48" s="11">
        <v>26</v>
      </c>
      <c r="AG48" s="11"/>
      <c r="AH48" s="5">
        <f>IF(AC48=0,AE48+AF48*AG48/2,AE48+AC48*AG48/2)</f>
        <v>120</v>
      </c>
      <c r="AI48" s="3"/>
      <c r="AJ48" s="3"/>
      <c r="AK48" s="33">
        <v>80</v>
      </c>
      <c r="AL48" s="5">
        <f>IF(AK48=0,AI48*AJ48/2,AK48)</f>
        <v>80</v>
      </c>
      <c r="AM48" s="3"/>
      <c r="AN48" s="5"/>
      <c r="AO48" s="5">
        <v>0.15</v>
      </c>
      <c r="AP48" s="5">
        <f>AL48+AI48*(AN48-AO48)/2</f>
        <v>80</v>
      </c>
      <c r="AQ48" s="5">
        <f>0.1*(AE48+AL48)</f>
        <v>20</v>
      </c>
      <c r="AR48" s="11">
        <v>28.85</v>
      </c>
      <c r="AS48" s="11"/>
      <c r="AT48" s="11"/>
      <c r="AU48" s="11"/>
      <c r="AV48" s="33">
        <v>135</v>
      </c>
      <c r="AW48" s="5">
        <f>IF(AV48=0,AS48/6*(AT48+AU48*4),AV48)</f>
        <v>135</v>
      </c>
      <c r="AX48" s="11">
        <v>2</v>
      </c>
      <c r="AY48" s="5">
        <f>IF(AX48&lt;0.149*M48+0.329,1,AX48/(0.149*M48+0.329))</f>
        <v>1</v>
      </c>
      <c r="AZ48" s="5">
        <f>IF(AW48*AY48&gt;AL48,(AW48*AY48-AL48)/4,0)</f>
        <v>13.75</v>
      </c>
      <c r="BA48" s="12">
        <f>0.401+0.1831*(2*AR48^2/(AH48+AP48+AZ48))-0.02016*(2*AR48^2/(AH48+AP48+AZ48))^2+0.0007472*(2*AR48^2/(AH48+AP48+AZ48))^3</f>
        <v>0.9571697278537925</v>
      </c>
      <c r="BB48" s="3"/>
      <c r="BC48" s="3"/>
      <c r="BD48" s="3"/>
      <c r="BE48" s="3"/>
      <c r="BF48" s="33"/>
      <c r="BG48" s="5">
        <f>IF(BF48=0,(BC48+BD48)*(BB48/12+BE48/3),BF48)</f>
        <v>0</v>
      </c>
      <c r="BH48" s="5">
        <f>IF(BG48*AY48&gt;AL48+AZ48,BG48*AY48-AL48-AZ48,0)</f>
        <v>0</v>
      </c>
      <c r="BI48" s="42">
        <f>IF(M48/1.6&lt;8,ROUND(M48/1.6,0),8)</f>
        <v>8</v>
      </c>
      <c r="BJ48" s="5">
        <f>(AH48+AP48+AZ48)*BA48+0.1*BH48</f>
        <v>204.5950293287482</v>
      </c>
      <c r="BK48" s="11">
        <v>2</v>
      </c>
      <c r="BL48" s="5">
        <f>M48*0.2</f>
        <v>3.7</v>
      </c>
      <c r="BM48" s="5">
        <f>ROUNDDOWN(M48/2.13,0)</f>
        <v>8</v>
      </c>
      <c r="BN48" s="12">
        <f>M48/4.26</f>
        <v>4.342723004694836</v>
      </c>
      <c r="BO48" s="5">
        <f>IF(M48&lt;8,1.22,IF(M48&lt;15.2,0.108333*M48+0.353,2))</f>
        <v>2</v>
      </c>
      <c r="BP48" s="12">
        <f>IF(BK48&lt;BO48,1+0.3*(BO48-BK48)/M48,1)</f>
        <v>1</v>
      </c>
      <c r="BQ48" s="39">
        <v>8</v>
      </c>
      <c r="BR48" s="39">
        <v>2</v>
      </c>
      <c r="BS48" s="36"/>
      <c r="BT48" t="s" s="24">
        <v>154</v>
      </c>
      <c r="BU48" s="36"/>
      <c r="BV48" s="5">
        <f>IF(BQ48&lt;(M48/0.3048)^0.5,1,IF(BU48="x",1-BR48*0.02,IF(BT48="x",1-BR48*0.01,1)))</f>
        <v>0.98</v>
      </c>
      <c r="BW48" s="12">
        <f>IF(K48="x",MIN(1.315,1.28+U48*N48/BJ48/AR48/1100),IF(L48="x",1.28,MAX(1.245,1.28-U48*N48/BJ48/AR48/1100)))</f>
        <v>1.245</v>
      </c>
      <c r="BX48" s="41">
        <f>BW48*T48*BV48*BP48*N48^0.3*BJ48^0.4/V48^0.325</f>
        <v>0.8978179164109563</v>
      </c>
      <c r="BY48" s="29"/>
      <c r="BZ48" s="29"/>
      <c r="CA48" t="s" s="19">
        <v>188</v>
      </c>
      <c r="CB48" t="s" s="19">
        <v>189</v>
      </c>
      <c r="CC48" t="s" s="19">
        <v>164</v>
      </c>
      <c r="CD48" s="3"/>
      <c r="CE48" s="3"/>
      <c r="CF48" s="3"/>
      <c r="CG48" t="s" s="30">
        <f>A48</f>
        <v>456</v>
      </c>
    </row>
    <row r="49" ht="12.75" customHeight="1">
      <c r="A49" t="s" s="25">
        <v>457</v>
      </c>
      <c r="B49" t="s" s="19">
        <v>457</v>
      </c>
      <c r="C49" t="s" s="19">
        <v>458</v>
      </c>
      <c r="D49" t="s" s="19">
        <v>458</v>
      </c>
      <c r="E49" t="s" s="19">
        <v>458</v>
      </c>
      <c r="F49" s="3"/>
      <c r="G49" s="3"/>
      <c r="H49" s="32"/>
      <c r="I49" s="32"/>
      <c r="J49" s="36"/>
      <c r="K49" t="s" s="24">
        <v>154</v>
      </c>
      <c r="L49" s="36"/>
      <c r="M49" s="11">
        <v>7.08</v>
      </c>
      <c r="N49" s="5">
        <v>7.08</v>
      </c>
      <c r="O49" s="11"/>
      <c r="P49" s="11"/>
      <c r="Q49" s="37"/>
      <c r="R49" t="s" s="24">
        <v>161</v>
      </c>
      <c r="S49" s="36"/>
      <c r="T49" s="38">
        <f>IF(S49&gt;0,1.048,IF(R49&gt;0,1.048,IF(Q49&gt;0,1.036,0.907+1.55*(P49/N49)-4.449*(P49/N49)^2)))</f>
        <v>1.048</v>
      </c>
      <c r="U49" s="39">
        <v>840</v>
      </c>
      <c r="V49" s="40">
        <f>IF(H49="x",75+U49,IF(M49&lt;6.66,150+U49,-1.7384*M49^2+92.38*M49-388+U49))</f>
        <v>1018.91066624</v>
      </c>
      <c r="W49" s="5"/>
      <c r="X49" s="5"/>
      <c r="Y49" s="5"/>
      <c r="Z49" s="5"/>
      <c r="AA49" s="5"/>
      <c r="AB49" s="5"/>
      <c r="AC49" s="5">
        <v>9.76</v>
      </c>
      <c r="AD49" s="33">
        <v>22.31</v>
      </c>
      <c r="AE49" s="5">
        <f>IF(AD49=0,(W49+4*X49+2*Y49+4*Z49+AA49)*AC49/12+W49*AB49/1.5,AD49)</f>
        <v>22.31</v>
      </c>
      <c r="AF49" s="11">
        <v>10.55</v>
      </c>
      <c r="AG49" s="11">
        <v>0.48</v>
      </c>
      <c r="AH49" s="5">
        <f>IF(AC49=0,AE49+AF49*AG49/2,AE49+AC49*AG49/2)</f>
        <v>24.6524</v>
      </c>
      <c r="AI49" s="3"/>
      <c r="AJ49" s="3"/>
      <c r="AK49" s="33">
        <v>11.62</v>
      </c>
      <c r="AL49" s="5">
        <f>IF(AK49=0,AI49*AJ49/2,AK49)</f>
        <v>11.62</v>
      </c>
      <c r="AM49" s="3"/>
      <c r="AN49" s="5"/>
      <c r="AO49" s="5"/>
      <c r="AP49" s="5">
        <f>AL49+AI49*(AN49-AO49)/2</f>
        <v>11.62</v>
      </c>
      <c r="AQ49" s="5">
        <f>0.1*(AE49+AL49)</f>
        <v>3.393</v>
      </c>
      <c r="AR49" s="11">
        <v>10.55</v>
      </c>
      <c r="AS49" s="11"/>
      <c r="AT49" s="11"/>
      <c r="AU49" s="11"/>
      <c r="AV49" s="33">
        <v>0</v>
      </c>
      <c r="AW49" s="5">
        <f>IF(AV49=0,AS49/6*(AT49+AU49*4),AV49)</f>
        <v>0</v>
      </c>
      <c r="AX49" s="11">
        <v>1.25</v>
      </c>
      <c r="AY49" s="5">
        <f>IF(AX49&lt;0.149*M49+0.329,1,AX49/(0.149*M49+0.329))</f>
        <v>1</v>
      </c>
      <c r="AZ49" s="5">
        <f>IF(AW49*AY49&gt;AL49,(AW49*AY49-AL49)/4,0)</f>
        <v>0</v>
      </c>
      <c r="BA49" s="12">
        <f>0.401+0.1831*(2*AR49^2/(AH49+AP49+AZ49))-0.02016*(2*AR49^2/(AH49+AP49+AZ49))^2+0.0007472*(2*AR49^2/(AH49+AP49+AZ49))^3</f>
        <v>0.9381091143036752</v>
      </c>
      <c r="BB49" s="3"/>
      <c r="BC49" s="3"/>
      <c r="BD49" s="3"/>
      <c r="BE49" s="3"/>
      <c r="BF49" s="33">
        <v>38.41</v>
      </c>
      <c r="BG49" s="5">
        <f>IF(BF49=0,(BC49+BD49)*(BB49/12+BE49/3),BF49)</f>
        <v>38.41</v>
      </c>
      <c r="BH49" s="5">
        <f>IF(BG49*AY49&gt;AL49+AZ49,BG49*AY49-AL49-AZ49,0)</f>
        <v>26.79</v>
      </c>
      <c r="BI49" s="5">
        <f>IF(M49/1.6&lt;8,ROUND(M49/1.6,0),8)</f>
        <v>4</v>
      </c>
      <c r="BJ49" s="5">
        <f>(AH49+AP49+AZ49)*BA49+0.1*BH49</f>
        <v>36.70646903766863</v>
      </c>
      <c r="BK49" s="11">
        <v>1.22</v>
      </c>
      <c r="BL49" s="5">
        <f>M49*0.2</f>
        <v>1.416</v>
      </c>
      <c r="BM49" s="5">
        <f>ROUNDDOWN(M49/2.13,0)</f>
        <v>3</v>
      </c>
      <c r="BN49" s="12">
        <f>M49/4.26</f>
        <v>1.661971830985915</v>
      </c>
      <c r="BO49" s="5">
        <f>IF(M49&lt;8,1.22,IF(M49&lt;15.2,0.108333*M49+0.353,2))</f>
        <v>1.22</v>
      </c>
      <c r="BP49" s="12">
        <f>IF(BK49&lt;BO49,1+0.3*(BO49-BK49)/M49,1)</f>
        <v>1</v>
      </c>
      <c r="BQ49" s="32"/>
      <c r="BR49" s="39">
        <v>0</v>
      </c>
      <c r="BS49" t="s" s="24">
        <v>154</v>
      </c>
      <c r="BT49" s="36"/>
      <c r="BU49" s="36"/>
      <c r="BV49" s="5">
        <f>IF(BQ49&lt;(M49/0.3048)^0.5,1,IF(BU49="x",1-BR49*0.02,IF(BT49="x",1-BR49*0.01,1)))</f>
        <v>1</v>
      </c>
      <c r="BW49" s="12">
        <f>IF(K49="x",MIN(1.315,1.28+U49*N49/BJ49/AR49/1100),IF(L49="x",1.28,MAX(1.245,1.28-U49*N49/BJ49/AR49/1100)))</f>
        <v>1.293961265599754</v>
      </c>
      <c r="BX49" s="41">
        <f>BW49*T49*BV49*BP49*N49^0.3*BJ49^0.4/V49^0.325</f>
        <v>1.085288858507792</v>
      </c>
      <c r="BY49" s="29"/>
      <c r="BZ49" s="29"/>
      <c r="CA49" t="s" s="19">
        <v>213</v>
      </c>
      <c r="CB49" t="s" s="19">
        <v>393</v>
      </c>
      <c r="CC49" t="s" s="19">
        <v>254</v>
      </c>
      <c r="CD49" t="s" s="19">
        <v>340</v>
      </c>
      <c r="CE49" s="3"/>
      <c r="CF49" s="3"/>
      <c r="CG49" t="s" s="30">
        <f>A49</f>
        <v>459</v>
      </c>
    </row>
    <row r="50" ht="12.75" customHeight="1">
      <c r="A50" t="s" s="25">
        <v>460</v>
      </c>
      <c r="B50" t="s" s="19">
        <v>461</v>
      </c>
      <c r="C50" t="s" s="19">
        <v>462</v>
      </c>
      <c r="D50" t="s" s="19">
        <v>463</v>
      </c>
      <c r="E50" t="s" s="19">
        <v>464</v>
      </c>
      <c r="F50" s="3"/>
      <c r="G50" s="3"/>
      <c r="H50" s="32"/>
      <c r="I50" s="32"/>
      <c r="J50" t="s" s="24">
        <v>154</v>
      </c>
      <c r="K50" s="36"/>
      <c r="L50" s="36"/>
      <c r="M50" s="11">
        <v>7.1</v>
      </c>
      <c r="N50" s="5">
        <v>7</v>
      </c>
      <c r="O50" s="11">
        <v>3.6</v>
      </c>
      <c r="P50" s="11">
        <v>0.6</v>
      </c>
      <c r="Q50" s="37"/>
      <c r="R50" s="36"/>
      <c r="S50" s="36"/>
      <c r="T50" s="38">
        <f>IF(S50&gt;0,1.048,IF(R50&gt;0,1.048,IF(Q50&gt;0,1.036,0.907+1.55*(P50/N50)-4.449*(P50/N50)^2)))</f>
        <v>1.007170612244898</v>
      </c>
      <c r="U50" s="39">
        <v>850</v>
      </c>
      <c r="V50" s="40">
        <f>IF(H50="x",75+U50,IF(M50&lt;6.66,150+U50,-1.7384*M50^2+92.38*M50-388+U50))</f>
        <v>1030.265256</v>
      </c>
      <c r="W50" s="5"/>
      <c r="X50" s="5"/>
      <c r="Y50" s="5"/>
      <c r="Z50" s="5"/>
      <c r="AA50" s="5"/>
      <c r="AB50" s="5"/>
      <c r="AC50" s="5"/>
      <c r="AD50" s="33">
        <v>20</v>
      </c>
      <c r="AE50" s="5">
        <f>IF(AD50=0,(W50+4*X50+2*Y50+4*Z50+AA50)*AC50/12+W50*AB50/1.5,AD50)</f>
        <v>20</v>
      </c>
      <c r="AF50" s="11"/>
      <c r="AG50" s="11"/>
      <c r="AH50" s="5">
        <f>IF(AC50=0,AE50+AF50*AG50/2,AE50+AC50*AG50/2)</f>
        <v>20</v>
      </c>
      <c r="AI50" s="3"/>
      <c r="AJ50" s="3"/>
      <c r="AK50" s="33">
        <v>9</v>
      </c>
      <c r="AL50" s="5">
        <f>IF(AK50=0,AI50*AJ50/2,AK50)</f>
        <v>9</v>
      </c>
      <c r="AM50" s="3"/>
      <c r="AN50" s="5"/>
      <c r="AO50" s="5"/>
      <c r="AP50" s="5">
        <f>AL50+AI50*(AN50-AO50)/2</f>
        <v>9</v>
      </c>
      <c r="AQ50" s="5">
        <f>0.1*(AE50+AL50)</f>
        <v>2.9</v>
      </c>
      <c r="AR50" s="11">
        <v>9.800000000000001</v>
      </c>
      <c r="AS50" s="11"/>
      <c r="AT50" s="11"/>
      <c r="AU50" s="11"/>
      <c r="AV50" s="33">
        <v>0</v>
      </c>
      <c r="AW50" s="5">
        <f>IF(AV50=0,AS50/6*(AT50+AU50*4),AV50)</f>
        <v>0</v>
      </c>
      <c r="AX50" s="11">
        <v>1</v>
      </c>
      <c r="AY50" s="5">
        <f>IF(AX50&lt;0.149*M50+0.329,1,AX50/(0.149*M50+0.329))</f>
        <v>1</v>
      </c>
      <c r="AZ50" s="5">
        <f>IF(AW50*AY50&gt;AL50,(AW50*AY50-AL50)/4,0)</f>
        <v>0</v>
      </c>
      <c r="BA50" s="12">
        <f>0.401+0.1831*(2*AR50^2/(AH50+AP50+AZ50))-0.02016*(2*AR50^2/(AH50+AP50+AZ50))^2+0.0007472*(2*AR50^2/(AH50+AP50+AZ50))^3</f>
        <v>0.946447568221602</v>
      </c>
      <c r="BB50" s="3"/>
      <c r="BC50" s="3"/>
      <c r="BD50" s="3"/>
      <c r="BE50" s="3"/>
      <c r="BF50" s="33">
        <v>30.15</v>
      </c>
      <c r="BG50" s="5">
        <f>IF(BF50=0,(BC50+BD50)*(BB50/12+BE50/3),BF50)</f>
        <v>30.15</v>
      </c>
      <c r="BH50" s="5">
        <f>IF(BG50*AY50&gt;AL50+AZ50,BG50*AY50-AL50-AZ50,0)</f>
        <v>21.15</v>
      </c>
      <c r="BI50" s="5">
        <f>IF(M50/1.6&lt;8,ROUND(M50/1.6,0),8)</f>
        <v>4</v>
      </c>
      <c r="BJ50" s="5">
        <f>(AH50+AP50+AZ50)*BA50+0.1*BH50</f>
        <v>29.56197947842646</v>
      </c>
      <c r="BK50" s="11">
        <v>1.22</v>
      </c>
      <c r="BL50" s="5">
        <f>M50*0.2</f>
        <v>1.42</v>
      </c>
      <c r="BM50" s="5">
        <f>ROUNDDOWN(M50/2.13,0)</f>
        <v>3</v>
      </c>
      <c r="BN50" s="12">
        <f>M50/4.26</f>
        <v>1.666666666666667</v>
      </c>
      <c r="BO50" s="5">
        <f>IF(M50&lt;8,1.22,IF(M50&lt;15.2,0.108333*M50+0.353,2))</f>
        <v>1.22</v>
      </c>
      <c r="BP50" s="12">
        <f>IF(BK50&lt;BO50,1+0.3*(BO50-BK50)/M50,1)</f>
        <v>1</v>
      </c>
      <c r="BQ50" s="32"/>
      <c r="BR50" s="39">
        <v>0</v>
      </c>
      <c r="BS50" t="s" s="24">
        <v>154</v>
      </c>
      <c r="BT50" s="36"/>
      <c r="BU50" s="36"/>
      <c r="BV50" s="5">
        <f>IF(BQ50&lt;(M50/0.3048)^0.5,1,IF(BU50="x",1-BR50*0.02,IF(BT50="x",1-BR50*0.01,1)))</f>
        <v>1</v>
      </c>
      <c r="BW50" s="12">
        <f>IF(K50="x",MIN(1.315,1.28+U50*N50/BJ50/AR50/1100),IF(L50="x",1.28,MAX(1.245,1.28-U50*N50/BJ50/AR50/1100)))</f>
        <v>1.26132912404087</v>
      </c>
      <c r="BX50" s="41">
        <f>BW50*T50*BV50*BP50*N50^0.3*BJ50^0.4/V50^0.325</f>
        <v>0.9258611109494396</v>
      </c>
      <c r="BY50" s="29"/>
      <c r="BZ50" s="29"/>
      <c r="CA50" t="s" s="19">
        <v>162</v>
      </c>
      <c r="CB50" t="s" s="19">
        <v>206</v>
      </c>
      <c r="CC50" t="s" s="19">
        <v>164</v>
      </c>
      <c r="CD50" s="3"/>
      <c r="CE50" s="3"/>
      <c r="CF50" s="3"/>
      <c r="CG50" t="s" s="30">
        <f>A50</f>
        <v>465</v>
      </c>
    </row>
    <row r="51" ht="12.75" customHeight="1">
      <c r="A51" t="s" s="25">
        <v>466</v>
      </c>
      <c r="B51" t="s" s="19">
        <v>467</v>
      </c>
      <c r="C51" t="s" s="19">
        <v>468</v>
      </c>
      <c r="D51" t="s" s="19">
        <v>469</v>
      </c>
      <c r="E51" t="s" s="19">
        <v>470</v>
      </c>
      <c r="F51" t="s" s="19">
        <v>471</v>
      </c>
      <c r="G51" s="3"/>
      <c r="H51" s="32"/>
      <c r="I51" s="32"/>
      <c r="J51" t="s" s="24">
        <v>154</v>
      </c>
      <c r="K51" s="36"/>
      <c r="L51" s="36"/>
      <c r="M51" s="11">
        <v>11.95</v>
      </c>
      <c r="N51" s="5">
        <v>11.9</v>
      </c>
      <c r="O51" s="11">
        <v>7.24</v>
      </c>
      <c r="P51" s="11"/>
      <c r="Q51" s="37"/>
      <c r="R51" s="43">
        <v>2</v>
      </c>
      <c r="S51" s="36"/>
      <c r="T51" s="38">
        <f>IF(S51&gt;0,1.048,IF(R51&gt;0,1.048,IF(Q51&gt;0,1.036,0.907+1.55*(P51/N51)-4.449*(P51/N51)^2)))</f>
        <v>1.048</v>
      </c>
      <c r="U51" s="39">
        <v>4500</v>
      </c>
      <c r="V51" s="40">
        <f>IF(H51="x",75+U51,IF(M51&lt;6.66,150+U51,-1.7384*M51^2+92.38*M51-388+U51))</f>
        <v>4967.693134</v>
      </c>
      <c r="W51" s="5"/>
      <c r="X51" s="5"/>
      <c r="Y51" s="5"/>
      <c r="Z51" s="5"/>
      <c r="AA51" s="5"/>
      <c r="AB51" s="5"/>
      <c r="AC51" s="5">
        <v>16.28</v>
      </c>
      <c r="AD51" s="33">
        <v>66</v>
      </c>
      <c r="AE51" s="5">
        <f>IF(AD51=0,(W51+4*X51+2*Y51+4*Z51+AA51)*AC51/12+W51*AB51/1.5,AD51)</f>
        <v>66</v>
      </c>
      <c r="AF51" s="11">
        <v>17</v>
      </c>
      <c r="AG51" s="11">
        <v>0</v>
      </c>
      <c r="AH51" s="5">
        <f>IF(AC51=0,AE51+AF51*AG51/2,AE51+AC51*AG51/2)</f>
        <v>66</v>
      </c>
      <c r="AI51" s="5">
        <v>16.1</v>
      </c>
      <c r="AJ51" s="3"/>
      <c r="AK51" s="33">
        <v>27</v>
      </c>
      <c r="AL51" s="5">
        <f>IF(AK51=0,AI51*AJ51/2,AK51)</f>
        <v>27</v>
      </c>
      <c r="AM51" t="s" s="19">
        <v>154</v>
      </c>
      <c r="AN51" s="5"/>
      <c r="AO51" s="5"/>
      <c r="AP51" s="5">
        <f>AL51+AI51*(AN51-AO51)/2</f>
        <v>27</v>
      </c>
      <c r="AQ51" s="5">
        <f>0.1*(AE51+AL51)</f>
        <v>9.300000000000001</v>
      </c>
      <c r="AR51" s="11">
        <v>18.4</v>
      </c>
      <c r="AS51" s="11"/>
      <c r="AT51" s="11"/>
      <c r="AU51" s="11"/>
      <c r="AV51" s="33">
        <v>95</v>
      </c>
      <c r="AW51" s="5">
        <f>IF(AV51=0,AS51/6*(AT51+AU51*4),AV51)</f>
        <v>95</v>
      </c>
      <c r="AX51" s="11">
        <v>0.8</v>
      </c>
      <c r="AY51" s="5">
        <f>IF(AX51&lt;0.149*M51+0.329,1,AX51/(0.149*M51+0.329))</f>
        <v>1</v>
      </c>
      <c r="AZ51" s="5">
        <f>IF(AW51*AY51&gt;AL51,(AW51*AY51-AL51)/4,0)</f>
        <v>17</v>
      </c>
      <c r="BA51" s="12">
        <f>0.401+0.1831*(2*AR51^2/(AH51+AP51+AZ51))-0.02016*(2*AR51^2/(AH51+AP51+AZ51))^2+0.0007472*(2*AR51^2/(AH51+AP51+AZ51))^3</f>
        <v>0.938480423144049</v>
      </c>
      <c r="BB51" s="3"/>
      <c r="BC51" s="3"/>
      <c r="BD51" s="3"/>
      <c r="BE51" s="3"/>
      <c r="BF51" s="33">
        <v>95</v>
      </c>
      <c r="BG51" s="5">
        <f>IF(BF51=0,(BC51+BD51)*(BB51/12+BE51/3),BF51)</f>
        <v>95</v>
      </c>
      <c r="BH51" s="5">
        <f>IF(BG51*AY51&gt;AL51+AZ51,BG51*AY51-AL51-AZ51,0)</f>
        <v>51</v>
      </c>
      <c r="BI51" s="5">
        <f>IF(M51/1.6&lt;8,ROUND(M51/1.6,0),8)</f>
        <v>7</v>
      </c>
      <c r="BJ51" s="5">
        <f>(AH51+AP51+AZ51)*BA51+0.1*BH51</f>
        <v>108.3328465458454</v>
      </c>
      <c r="BK51" s="11">
        <v>1.9</v>
      </c>
      <c r="BL51" s="5">
        <f>M51*0.2</f>
        <v>2.39</v>
      </c>
      <c r="BM51" s="5">
        <f>ROUNDDOWN(M51/2.13,0)</f>
        <v>5</v>
      </c>
      <c r="BN51" s="12">
        <f>M51/4.26</f>
        <v>2.805164319248826</v>
      </c>
      <c r="BO51" s="5">
        <f>IF(M51&lt;8,1.22,IF(M51&lt;15.2,0.108333*M51+0.353,2))</f>
        <v>1.64757935</v>
      </c>
      <c r="BP51" s="12">
        <f>IF(BK51&lt;BO51,1+0.3*(BO51-BK51)/M51,1)</f>
        <v>1</v>
      </c>
      <c r="BQ51" s="39">
        <v>8</v>
      </c>
      <c r="BR51" s="39">
        <v>2</v>
      </c>
      <c r="BS51" s="36"/>
      <c r="BT51" t="s" s="24">
        <v>154</v>
      </c>
      <c r="BU51" s="36"/>
      <c r="BV51" s="5">
        <f>IF(BQ51&lt;(M51/0.3048)^0.5,1,IF(BU51="x",1-BR51*0.02,IF(BT51="x",1-BR51*0.01,1)))</f>
        <v>0.98</v>
      </c>
      <c r="BW51" s="12">
        <f>IF(K51="x",MIN(1.315,1.28+U51*N51/BJ51/AR51/1100),IF(L51="x",1.28,MAX(1.245,1.28-U51*N51/BJ51/AR51/1100)))</f>
        <v>1.255577573446087</v>
      </c>
      <c r="BX51" s="41">
        <f>BW51*T51*BV51*BP51*N51^0.3*BJ51^0.4/V51^0.325</f>
        <v>1.111088778408543</v>
      </c>
      <c r="BY51" s="29"/>
      <c r="BZ51" s="29"/>
      <c r="CA51" s="3"/>
      <c r="CB51" s="3"/>
      <c r="CC51" s="3"/>
      <c r="CD51" s="3"/>
      <c r="CE51" s="3"/>
      <c r="CF51" s="3"/>
      <c r="CG51" t="s" s="30">
        <f>A51</f>
        <v>472</v>
      </c>
    </row>
    <row r="52" ht="12.75" customHeight="1">
      <c r="A52" t="s" s="25">
        <v>473</v>
      </c>
      <c r="B52" t="s" s="19">
        <v>474</v>
      </c>
      <c r="C52" t="s" s="19">
        <v>475</v>
      </c>
      <c r="D52" t="s" s="19">
        <v>169</v>
      </c>
      <c r="E52" t="s" s="19">
        <v>476</v>
      </c>
      <c r="F52" s="3"/>
      <c r="G52" s="3"/>
      <c r="H52" s="32"/>
      <c r="I52" s="32"/>
      <c r="J52" t="s" s="24">
        <v>154</v>
      </c>
      <c r="K52" s="36"/>
      <c r="L52" s="36"/>
      <c r="M52" s="11">
        <v>8.65</v>
      </c>
      <c r="N52" s="5">
        <v>8.35</v>
      </c>
      <c r="O52" s="11">
        <v>4.9</v>
      </c>
      <c r="P52" s="11">
        <v>0.66</v>
      </c>
      <c r="Q52" s="37"/>
      <c r="R52" s="36"/>
      <c r="S52" s="36"/>
      <c r="T52" s="38">
        <f>IF(S52&gt;0,1.048,IF(R52&gt;0,1.048,IF(Q52&gt;0,1.036,0.907+1.55*(P52/N52)-4.449*(P52/N52)^2)))</f>
        <v>1.001719288608412</v>
      </c>
      <c r="U52" s="39">
        <v>1600</v>
      </c>
      <c r="V52" s="40">
        <f>IF(H52="x",75+U52,IF(M52&lt;6.66,150+U52,-1.7384*M52^2+92.38*M52-388+U52))</f>
        <v>1881.015566</v>
      </c>
      <c r="W52" s="5"/>
      <c r="X52" s="5"/>
      <c r="Y52" s="5"/>
      <c r="Z52" s="5"/>
      <c r="AA52" s="5"/>
      <c r="AB52" s="5"/>
      <c r="AC52" s="5">
        <v>9.800000000000001</v>
      </c>
      <c r="AD52" s="33">
        <v>30</v>
      </c>
      <c r="AE52" s="5">
        <f>IF(AD52=0,(W52+4*X52+2*Y52+4*Z52+AA52)*AC52/12+W52*AB52/1.5,AD52)</f>
        <v>30</v>
      </c>
      <c r="AF52" s="11">
        <v>11.05</v>
      </c>
      <c r="AG52" s="11"/>
      <c r="AH52" s="5">
        <f>IF(AC52=0,AE52+AF52*AG52/2,AE52+AC52*AG52/2)</f>
        <v>30</v>
      </c>
      <c r="AI52" s="5">
        <v>9.300000000000001</v>
      </c>
      <c r="AJ52" s="3"/>
      <c r="AK52" s="33">
        <v>14.6</v>
      </c>
      <c r="AL52" s="5">
        <f>IF(AK52=0,AI52*AJ52/2,AK52)</f>
        <v>14.6</v>
      </c>
      <c r="AM52" s="3"/>
      <c r="AN52" s="5"/>
      <c r="AO52" s="5"/>
      <c r="AP52" s="5">
        <f>AL52+AI52*(AN52-AO52)/2</f>
        <v>14.6</v>
      </c>
      <c r="AQ52" s="5">
        <f>0.1*(AE52+AL52)</f>
        <v>4.46</v>
      </c>
      <c r="AR52" s="11">
        <v>11.3</v>
      </c>
      <c r="AS52" s="11"/>
      <c r="AT52" s="11"/>
      <c r="AU52" s="11"/>
      <c r="AV52" s="33">
        <v>0</v>
      </c>
      <c r="AW52" s="5">
        <f>IF(AV52=0,AS52/6*(AT52+AU52*4),AV52)</f>
        <v>0</v>
      </c>
      <c r="AX52" s="11">
        <v>1.09</v>
      </c>
      <c r="AY52" s="5">
        <f>IF(AX52&lt;0.149*M52+0.329,1,AX52/(0.149*M52+0.329))</f>
        <v>1</v>
      </c>
      <c r="AZ52" s="5">
        <f>IF(AW52*AY52&gt;AL52,(AW52*AY52-AL52)/4,0)</f>
        <v>0</v>
      </c>
      <c r="BA52" s="12">
        <f>0.401+0.1831*(2*AR52^2/(AH52+AP52+AZ52))-0.02016*(2*AR52^2/(AH52+AP52+AZ52))^2+0.0007472*(2*AR52^2/(AH52+AP52+AZ52))^3</f>
        <v>0.9287218077905697</v>
      </c>
      <c r="BB52" s="3"/>
      <c r="BC52" s="3"/>
      <c r="BD52" s="3"/>
      <c r="BE52" s="3"/>
      <c r="BF52" s="33">
        <v>55</v>
      </c>
      <c r="BG52" s="5">
        <f>IF(BF52=0,(BC52+BD52)*(BB52/12+BE52/3),BF52)</f>
        <v>55</v>
      </c>
      <c r="BH52" s="5">
        <f>IF(BG52*AY52&gt;AL52+AZ52,BG52*AY52-AL52-AZ52,0)</f>
        <v>40.4</v>
      </c>
      <c r="BI52" s="5">
        <f>IF(M52/1.6&lt;8,ROUND(M52/1.6,0),8)</f>
        <v>5</v>
      </c>
      <c r="BJ52" s="5">
        <f>(AH52+AP52+AZ52)*BA52+0.1*BH52</f>
        <v>45.4609926274594</v>
      </c>
      <c r="BK52" s="11">
        <v>1.45</v>
      </c>
      <c r="BL52" s="5">
        <f>M52*0.2</f>
        <v>1.73</v>
      </c>
      <c r="BM52" s="5">
        <f>ROUNDDOWN(M52/2.13,0)</f>
        <v>4</v>
      </c>
      <c r="BN52" s="12">
        <f>M52/4.26</f>
        <v>2.030516431924883</v>
      </c>
      <c r="BO52" s="5">
        <f>IF(M52&lt;8,1.22,IF(M52&lt;15.2,0.108333*M52+0.353,2))</f>
        <v>1.29008045</v>
      </c>
      <c r="BP52" s="12">
        <f>IF(BK52&lt;BO52,1+0.3*(BO52-BK52)/M52,1)</f>
        <v>1</v>
      </c>
      <c r="BQ52" s="39">
        <v>6.5</v>
      </c>
      <c r="BR52" s="39">
        <v>0</v>
      </c>
      <c r="BS52" t="s" s="24">
        <v>154</v>
      </c>
      <c r="BT52" s="36"/>
      <c r="BU52" s="36"/>
      <c r="BV52" s="5">
        <f>IF(BQ52&lt;(M52/0.3048)^0.5,1,IF(BU52="x",1-BR52*0.02,IF(BT52="x",1-BR52*0.01,1)))</f>
        <v>1</v>
      </c>
      <c r="BW52" s="12">
        <f>IF(K52="x",MIN(1.315,1.28+U52*N52/BJ52/AR52/1100),IF(L52="x",1.28,MAX(1.245,1.28-U52*N52/BJ52/AR52/1100)))</f>
        <v>1.256357335724469</v>
      </c>
      <c r="BX52" s="41">
        <f>BW52*T52*BV52*BP52*N52^0.3*BJ52^0.4/V52^0.325</f>
        <v>0.9445896835003253</v>
      </c>
      <c r="BY52" s="29"/>
      <c r="BZ52" s="29"/>
      <c r="CA52" t="s" s="19">
        <v>213</v>
      </c>
      <c r="CB52" t="s" s="19">
        <v>477</v>
      </c>
      <c r="CC52" t="s" s="19">
        <v>180</v>
      </c>
      <c r="CD52" s="3"/>
      <c r="CE52" s="3"/>
      <c r="CF52" s="3"/>
      <c r="CG52" t="s" s="30">
        <f>A52</f>
        <v>478</v>
      </c>
    </row>
    <row r="53" ht="12.75" customHeight="1">
      <c r="A53" t="s" s="25">
        <v>479</v>
      </c>
      <c r="B53" t="s" s="19">
        <v>480</v>
      </c>
      <c r="C53" t="s" s="19">
        <v>193</v>
      </c>
      <c r="D53" t="s" s="19">
        <v>193</v>
      </c>
      <c r="E53" t="s" s="19">
        <v>481</v>
      </c>
      <c r="F53" s="3"/>
      <c r="G53" t="s" s="19">
        <v>482</v>
      </c>
      <c r="H53" s="32"/>
      <c r="I53" s="32"/>
      <c r="J53" s="36"/>
      <c r="K53" t="s" s="24">
        <v>154</v>
      </c>
      <c r="L53" s="36"/>
      <c r="M53" s="11">
        <v>8</v>
      </c>
      <c r="N53" s="5">
        <v>7.95</v>
      </c>
      <c r="O53" s="11"/>
      <c r="P53" s="11"/>
      <c r="Q53" t="s" s="24">
        <v>161</v>
      </c>
      <c r="R53" s="36"/>
      <c r="S53" s="36"/>
      <c r="T53" s="38">
        <f>IF(S53&gt;0,1.048,IF(R53&gt;0,1.048,IF(Q53&gt;0,1.036,0.907+1.55*(P53/N53)-4.449*(P53/N53)^2)))</f>
        <v>1.036</v>
      </c>
      <c r="U53" s="39">
        <v>1142</v>
      </c>
      <c r="V53" s="40">
        <f>IF(H53="x",75+U53,IF(M53&lt;6.66,150+U53,-1.7384*M53^2+92.38*M53-388+U53))</f>
        <v>1381.7824</v>
      </c>
      <c r="W53" s="5">
        <v>2.97</v>
      </c>
      <c r="X53" s="5">
        <v>2.84</v>
      </c>
      <c r="Y53" s="5">
        <v>2.49</v>
      </c>
      <c r="Z53" s="5">
        <v>1.89</v>
      </c>
      <c r="AA53" s="5">
        <v>0.14</v>
      </c>
      <c r="AB53" s="5"/>
      <c r="AC53" s="5">
        <v>9.699999999999999</v>
      </c>
      <c r="AD53" s="33"/>
      <c r="AE53" s="5">
        <f>IF(AD53=0,(W53+4*X53+2*Y53+4*Z53+AA53)*AC53/12+W53*AB53/1.5,AD53)</f>
        <v>21.83308333333333</v>
      </c>
      <c r="AF53" s="11">
        <v>11.02</v>
      </c>
      <c r="AG53" s="11">
        <v>0.42</v>
      </c>
      <c r="AH53" s="5">
        <f>IF(AC53=0,AE53+AF53*AG53/2,AE53+AC53*AG53/2)</f>
        <v>23.87008333333333</v>
      </c>
      <c r="AI53" s="5">
        <v>8.76</v>
      </c>
      <c r="AJ53" s="5">
        <v>2.87</v>
      </c>
      <c r="AK53" s="33"/>
      <c r="AL53" s="5">
        <f>IF(AK53=0,AI53*AJ53/2,AK53)</f>
        <v>12.5706</v>
      </c>
      <c r="AM53" t="s" s="19">
        <v>154</v>
      </c>
      <c r="AN53" s="5"/>
      <c r="AO53" s="5"/>
      <c r="AP53" s="5">
        <f>AL53+AI53*(AN53-AO53)/2</f>
        <v>12.5706</v>
      </c>
      <c r="AQ53" s="5">
        <f>0.1*(AE53+AL53)</f>
        <v>3.440368333333334</v>
      </c>
      <c r="AR53" s="11">
        <v>11.02</v>
      </c>
      <c r="AS53" s="11"/>
      <c r="AT53" s="11"/>
      <c r="AU53" s="11"/>
      <c r="AV53" s="33"/>
      <c r="AW53" s="5">
        <f>IF(AV53=0,AS53/6*(AT53+AU53*4),AV53)</f>
        <v>0</v>
      </c>
      <c r="AX53" s="11"/>
      <c r="AY53" s="5">
        <f>IF(AX53&lt;0.149*M53+0.329,1,AX53/(0.149*M53+0.329))</f>
        <v>1</v>
      </c>
      <c r="AZ53" s="5">
        <f>IF(AW53*AY53&gt;AL53,(AW53*AY53-AL53)/4,0)</f>
        <v>0</v>
      </c>
      <c r="BA53" s="12">
        <f>0.401+0.1831*(2*AR53^2/(AH53+AP53+AZ53))-0.02016*(2*AR53^2/(AH53+AP53+AZ53))^2+0.0007472*(2*AR53^2/(AH53+AP53+AZ53))^3</f>
        <v>0.9470374285892319</v>
      </c>
      <c r="BB53" s="5">
        <v>5.13</v>
      </c>
      <c r="BC53" s="5">
        <v>10.93</v>
      </c>
      <c r="BD53" s="5">
        <v>9</v>
      </c>
      <c r="BE53" s="5">
        <v>5.36</v>
      </c>
      <c r="BF53" s="33"/>
      <c r="BG53" s="5">
        <f>IF(BF53=0,(BC53+BD53)*(BB53/12+BE53/3),BF53)</f>
        <v>44.12834166666667</v>
      </c>
      <c r="BH53" s="5">
        <f>IF(BG53*AY53&gt;AL53+AZ53,BG53*AY53-AL53-AZ53,0)</f>
        <v>31.55774166666667</v>
      </c>
      <c r="BI53" s="5">
        <f>IF(M53/1.6&lt;8,ROUND(M53/1.6,0),8)</f>
        <v>5</v>
      </c>
      <c r="BJ53" s="5">
        <f>(AH53+AP53+AZ53)*BA53+0.1*BH53</f>
        <v>37.66646520670115</v>
      </c>
      <c r="BK53" s="11">
        <v>1.4</v>
      </c>
      <c r="BL53" s="5">
        <f>M53*0.2</f>
        <v>1.6</v>
      </c>
      <c r="BM53" s="5">
        <f>ROUNDDOWN(M53/2.13,0)</f>
        <v>3</v>
      </c>
      <c r="BN53" s="12">
        <f>M53/4.26</f>
        <v>1.877934272300469</v>
      </c>
      <c r="BO53" s="5">
        <f>IF(M53&lt;8,1.22,IF(M53&lt;15.2,0.108333*M53+0.353,2))</f>
        <v>1.219664</v>
      </c>
      <c r="BP53" s="12">
        <f>IF(BK53&lt;BO53,1+0.3*(BO53-BK53)/M53,1)</f>
        <v>1</v>
      </c>
      <c r="BQ53" s="32"/>
      <c r="BR53" s="32"/>
      <c r="BS53" t="s" s="24">
        <v>154</v>
      </c>
      <c r="BT53" s="36"/>
      <c r="BU53" s="36"/>
      <c r="BV53" s="5">
        <f>IF(BQ53&lt;(M53/0.3048)^0.5,1,IF(BU53="x",1-BR53*0.02,IF(BT53="x",1-BR53*0.01,1)))</f>
        <v>1</v>
      </c>
      <c r="BW53" s="12">
        <f>IF(K53="x",MIN(1.315,1.28+U53*N53/BJ53/AR53/1100),IF(L53="x",1.28,MAX(1.245,1.28-U53*N53/BJ53/AR53/1100)))</f>
        <v>1.299884015222906</v>
      </c>
      <c r="BX53" s="41">
        <f>BW53*T53*BV53*BP53*N53^0.3*BJ53^0.4/V53^0.325</f>
        <v>1.021206464145739</v>
      </c>
      <c r="BY53" s="29"/>
      <c r="BZ53" s="29"/>
      <c r="CA53" t="s" s="19">
        <v>162</v>
      </c>
      <c r="CB53" s="42">
        <v>1997</v>
      </c>
      <c r="CC53" t="s" s="19">
        <v>254</v>
      </c>
      <c r="CD53" t="s" s="19">
        <v>483</v>
      </c>
      <c r="CE53" s="3"/>
      <c r="CF53" s="3"/>
      <c r="CG53" t="s" s="30">
        <f>A53</f>
        <v>484</v>
      </c>
    </row>
    <row r="54" ht="12.75" customHeight="1">
      <c r="A54" t="s" s="25">
        <v>485</v>
      </c>
      <c r="B54" t="s" s="19">
        <v>338</v>
      </c>
      <c r="C54" t="s" s="19">
        <v>486</v>
      </c>
      <c r="D54" t="s" s="19">
        <v>486</v>
      </c>
      <c r="E54" t="s" s="19">
        <v>486</v>
      </c>
      <c r="F54" s="3"/>
      <c r="G54" t="s" s="19">
        <v>487</v>
      </c>
      <c r="H54" s="32"/>
      <c r="I54" s="32"/>
      <c r="J54" s="36"/>
      <c r="K54" t="s" s="24">
        <v>154</v>
      </c>
      <c r="L54" s="36"/>
      <c r="M54" s="11">
        <v>8.529999999999999</v>
      </c>
      <c r="N54" s="5">
        <v>8.529999999999999</v>
      </c>
      <c r="O54" s="11"/>
      <c r="P54" s="11"/>
      <c r="Q54" s="37"/>
      <c r="R54" t="s" s="24">
        <v>161</v>
      </c>
      <c r="S54" s="36"/>
      <c r="T54" s="38">
        <f>IF(S54&gt;0,1.048,IF(R54&gt;0,1.048,IF(Q54&gt;0,1.036,0.907+1.55*(P54/N54)-4.449*(P54/N54)^2)))</f>
        <v>1.048</v>
      </c>
      <c r="U54" s="39">
        <v>885</v>
      </c>
      <c r="V54" s="40">
        <f>IF(H54="x",75+U54,IF(M54&lt;6.66,150+U54,-1.7384*M54^2+92.38*M54-388+U54))</f>
        <v>1158.51385144</v>
      </c>
      <c r="W54" s="5"/>
      <c r="X54" s="5"/>
      <c r="Y54" s="5"/>
      <c r="Z54" s="5"/>
      <c r="AA54" s="5"/>
      <c r="AB54" s="5"/>
      <c r="AC54" s="5">
        <v>13.5</v>
      </c>
      <c r="AD54" s="33">
        <v>49.625</v>
      </c>
      <c r="AE54" s="5">
        <f>IF(AD54=0,(W54+4*X54+2*Y54+4*Z54+AA54)*AC54/12+W54*AB54/1.5,AD54)</f>
        <v>49.625</v>
      </c>
      <c r="AF54" s="11">
        <v>14.7</v>
      </c>
      <c r="AG54" s="11"/>
      <c r="AH54" s="5">
        <f>IF(AC54=0,AE54+AF54*AG54/2,AE54+AC54*AG54/2)</f>
        <v>49.625</v>
      </c>
      <c r="AI54" s="3"/>
      <c r="AJ54" s="3"/>
      <c r="AK54" s="33">
        <v>15.73</v>
      </c>
      <c r="AL54" s="5">
        <f>IF(AK54=0,AI54*AJ54/2,AK54)</f>
        <v>15.73</v>
      </c>
      <c r="AM54" s="3"/>
      <c r="AN54" s="5"/>
      <c r="AO54" s="5"/>
      <c r="AP54" s="5">
        <f>AL54+AI54*(AN54-AO54)/2</f>
        <v>15.73</v>
      </c>
      <c r="AQ54" s="5">
        <f>0.1*(AE54+AL54)</f>
        <v>6.535500000000001</v>
      </c>
      <c r="AR54" s="11">
        <v>14.5</v>
      </c>
      <c r="AS54" s="11"/>
      <c r="AT54" s="11"/>
      <c r="AU54" s="11"/>
      <c r="AV54" s="33">
        <v>0</v>
      </c>
      <c r="AW54" s="5">
        <f>IF(AV54=0,AS54/6*(AT54+AU54*4),AV54)</f>
        <v>0</v>
      </c>
      <c r="AX54" s="11">
        <v>1.6</v>
      </c>
      <c r="AY54" s="5">
        <f>IF(AX54&lt;0.149*M54+0.329,1,AX54/(0.149*M54+0.329))</f>
        <v>1.000018750351569</v>
      </c>
      <c r="AZ54" s="5">
        <f>IF(AW54*AY54&gt;AL54,(AW54*AY54-AL54)/4,0)</f>
        <v>0</v>
      </c>
      <c r="BA54" s="12">
        <f>0.401+0.1831*(2*AR54^2/(AH54+AP54+AZ54))-0.02016*(2*AR54^2/(AH54+AP54+AZ54))^2+0.0007472*(2*AR54^2/(AH54+AP54+AZ54))^3</f>
        <v>0.9435287101182117</v>
      </c>
      <c r="BB54" s="3"/>
      <c r="BC54" s="3"/>
      <c r="BD54" s="3"/>
      <c r="BE54" s="3"/>
      <c r="BF54" s="33">
        <v>63</v>
      </c>
      <c r="BG54" s="5">
        <f>IF(BF54=0,(BC54+BD54)*(BB54/12+BE54/3),BF54)</f>
        <v>63</v>
      </c>
      <c r="BH54" s="5">
        <f>IF(BG54*AY54&gt;AL54+AZ54,BG54*AY54-AL54-AZ54,0)</f>
        <v>47.27118127214885</v>
      </c>
      <c r="BI54" s="5">
        <f>IF(M54/1.6&lt;8,ROUND(M54/1.6,0),8)</f>
        <v>5</v>
      </c>
      <c r="BJ54" s="5">
        <f>(AH54+AP54+AZ54)*BA54+0.1*BH54</f>
        <v>66.39143697699062</v>
      </c>
      <c r="BK54" s="11">
        <v>1.22</v>
      </c>
      <c r="BL54" s="5">
        <f>M54*0.2</f>
        <v>1.706</v>
      </c>
      <c r="BM54" s="5">
        <f>ROUNDDOWN(M54/2.13,0)</f>
        <v>4</v>
      </c>
      <c r="BN54" s="12">
        <f>M54/4.26</f>
        <v>2.002347417840376</v>
      </c>
      <c r="BO54" s="5">
        <f>IF(M54&lt;8,1.22,IF(M54&lt;15.2,0.108333*M54+0.353,2))</f>
        <v>1.27708049</v>
      </c>
      <c r="BP54" s="12">
        <f>IF(BK54&lt;BO54,1+0.3*(BO54-BK54)/M54,1)</f>
        <v>1.002007520164127</v>
      </c>
      <c r="BQ54" s="32"/>
      <c r="BR54" s="39">
        <v>0</v>
      </c>
      <c r="BS54" t="s" s="24">
        <v>154</v>
      </c>
      <c r="BT54" s="36"/>
      <c r="BU54" s="36"/>
      <c r="BV54" s="5">
        <f>IF(BQ54&lt;(M54/0.3048)^0.5,1,IF(BU54="x",1-BR54*0.02,IF(BT54="x",1-BR54*0.01,1)))</f>
        <v>1</v>
      </c>
      <c r="BW54" s="12">
        <f>IF(K54="x",MIN(1.315,1.28+U54*N54/BJ54/AR54/1100),IF(L54="x",1.28,MAX(1.245,1.28-U54*N54/BJ54/AR54/1100)))</f>
        <v>1.28712885113498</v>
      </c>
      <c r="BX54" s="41">
        <f>BW54*T54*BV54*BP54*N54^0.3*BJ54^0.4/V54^0.325</f>
        <v>1.390643869573461</v>
      </c>
      <c r="BY54" s="29"/>
      <c r="BZ54" s="29"/>
      <c r="CA54" t="s" s="19">
        <v>162</v>
      </c>
      <c r="CB54" t="s" s="19">
        <v>393</v>
      </c>
      <c r="CC54" t="s" s="19">
        <v>254</v>
      </c>
      <c r="CD54" t="s" s="19">
        <v>340</v>
      </c>
      <c r="CE54" s="3"/>
      <c r="CF54" s="3"/>
      <c r="CG54" t="s" s="30">
        <f>A54</f>
        <v>488</v>
      </c>
    </row>
    <row r="55" ht="12.75" customHeight="1">
      <c r="A55" t="s" s="25">
        <v>489</v>
      </c>
      <c r="B55" t="s" s="19">
        <v>490</v>
      </c>
      <c r="C55" t="s" s="19">
        <v>344</v>
      </c>
      <c r="D55" t="s" s="19">
        <v>345</v>
      </c>
      <c r="E55" t="s" s="19">
        <v>491</v>
      </c>
      <c r="F55" t="s" s="19">
        <v>492</v>
      </c>
      <c r="G55" s="42">
        <v>265</v>
      </c>
      <c r="H55" s="32"/>
      <c r="I55" s="32"/>
      <c r="J55" s="36"/>
      <c r="K55" t="s" s="24">
        <v>154</v>
      </c>
      <c r="L55" s="36"/>
      <c r="M55" s="11">
        <v>8.26</v>
      </c>
      <c r="N55" s="5">
        <v>8.19</v>
      </c>
      <c r="O55" s="11">
        <v>5.82</v>
      </c>
      <c r="P55" s="11"/>
      <c r="Q55" s="37"/>
      <c r="R55" s="43">
        <v>1.5</v>
      </c>
      <c r="S55" s="36"/>
      <c r="T55" s="38">
        <f>IF(S55&gt;0,1.048,IF(R55&gt;0,1.048,IF(Q55&gt;0,1.036,0.907+1.55*(P55/N55)-4.449*(P55/N55)^2)))</f>
        <v>1.048</v>
      </c>
      <c r="U55" s="39">
        <v>1700</v>
      </c>
      <c r="V55" s="40">
        <f>IF(H55="x",75+U55,IF(M55&lt;6.66,150+U55,-1.7384*M55^2+92.38*M55-388+U55))</f>
        <v>1956.45194016</v>
      </c>
      <c r="W55" s="5"/>
      <c r="X55" s="5"/>
      <c r="Y55" s="5"/>
      <c r="Z55" s="5"/>
      <c r="AA55" s="5"/>
      <c r="AB55" s="5"/>
      <c r="AC55" s="5">
        <v>9.65</v>
      </c>
      <c r="AD55" s="33">
        <v>30</v>
      </c>
      <c r="AE55" s="5">
        <f>IF(AD55=0,(W55+4*X55+2*Y55+4*Z55+AA55)*AC55/12+W55*AB55/1.5,AD55)</f>
        <v>30</v>
      </c>
      <c r="AF55" s="11">
        <v>11.28</v>
      </c>
      <c r="AG55" s="11"/>
      <c r="AH55" s="5">
        <f>IF(AC55=0,AE55+AF55*AG55/2,AE55+AC55*AG55/2)</f>
        <v>30</v>
      </c>
      <c r="AI55" s="5">
        <v>10</v>
      </c>
      <c r="AJ55" s="3"/>
      <c r="AK55" s="33">
        <v>23.5</v>
      </c>
      <c r="AL55" s="5">
        <f>IF(AK55=0,AI55*AJ55/2,AK55)</f>
        <v>23.5</v>
      </c>
      <c r="AM55" s="3"/>
      <c r="AN55" s="5"/>
      <c r="AO55" s="5">
        <v>0.1</v>
      </c>
      <c r="AP55" s="5">
        <f>AL55+AI55*(AN55-AO55)/2</f>
        <v>23</v>
      </c>
      <c r="AQ55" s="5">
        <f>0.1*(AE55+AL55)</f>
        <v>5.350000000000001</v>
      </c>
      <c r="AR55" s="11">
        <v>11.28</v>
      </c>
      <c r="AS55" s="11"/>
      <c r="AT55" s="11"/>
      <c r="AU55" s="11"/>
      <c r="AV55" s="33">
        <v>42</v>
      </c>
      <c r="AW55" s="5">
        <f>IF(AV55=0,AS55/6*(AT55+AU55*4),AV55)</f>
        <v>42</v>
      </c>
      <c r="AX55" s="11">
        <v>1.3</v>
      </c>
      <c r="AY55" s="5">
        <f>IF(AX55&lt;0.149*M55+0.329,1,AX55/(0.149*M55+0.329))</f>
        <v>1</v>
      </c>
      <c r="AZ55" s="5">
        <f>IF(AW55*AY55&gt;AL55,(AW55*AY55-AL55)/4,0)</f>
        <v>4.625</v>
      </c>
      <c r="BA55" s="12">
        <f>0.401+0.1831*(2*AR55^2/(AH55+AP55+AZ55))-0.02016*(2*AR55^2/(AH55+AP55+AZ55))^2+0.0007472*(2*AR55^2/(AH55+AP55+AZ55))^3</f>
        <v>0.8807787433913193</v>
      </c>
      <c r="BB55" s="3"/>
      <c r="BC55" s="3"/>
      <c r="BD55" s="3"/>
      <c r="BE55" s="3"/>
      <c r="BF55" s="33">
        <v>72</v>
      </c>
      <c r="BG55" s="5">
        <f>IF(BF55=0,(BC55+BD55)*(BB55/12+BE55/3),BF55)</f>
        <v>72</v>
      </c>
      <c r="BH55" s="5">
        <f>IF(BG55*AY55&gt;AL55+AZ55,BG55*AY55-AL55-AZ55,0)</f>
        <v>43.875</v>
      </c>
      <c r="BI55" s="5">
        <f>IF(M55/1.6&lt;8,ROUND(M55/1.6,0),8)</f>
        <v>5</v>
      </c>
      <c r="BJ55" s="5">
        <f>(AH55+AP55+AZ55)*BA55+0.1*BH55</f>
        <v>55.14237508792478</v>
      </c>
      <c r="BK55" s="11">
        <v>1.85</v>
      </c>
      <c r="BL55" s="5">
        <f>M55*0.2</f>
        <v>1.652</v>
      </c>
      <c r="BM55" s="5">
        <f>ROUNDDOWN(M55/2.13,0)</f>
        <v>3</v>
      </c>
      <c r="BN55" s="12">
        <f>M55/4.26</f>
        <v>1.938967136150235</v>
      </c>
      <c r="BO55" s="5">
        <f>IF(M55&lt;8,1.22,IF(M55&lt;15.2,0.108333*M55+0.353,2))</f>
        <v>1.24783058</v>
      </c>
      <c r="BP55" s="12">
        <f>IF(BK55&lt;BO55,1+0.3*(BO55-BK55)/M55,1)</f>
        <v>1</v>
      </c>
      <c r="BQ55" s="39">
        <v>7</v>
      </c>
      <c r="BR55" s="39">
        <v>1</v>
      </c>
      <c r="BS55" t="s" s="24">
        <v>154</v>
      </c>
      <c r="BT55" s="36"/>
      <c r="BU55" s="36"/>
      <c r="BV55" s="5">
        <f>IF(BQ55&lt;(M55/0.3048)^0.5,1,IF(BU55="x",1-BR55*0.02,IF(BT55="x",1-BR55*0.01,1)))</f>
        <v>1</v>
      </c>
      <c r="BW55" s="12">
        <f>IF(K55="x",MIN(1.315,1.28+U55*N55/BJ55/AR55/1100),IF(L55="x",1.28,MAX(1.245,1.28-U55*N55/BJ55/AR55/1100)))</f>
        <v>1.30034911706733</v>
      </c>
      <c r="BX55" s="41">
        <f>BW55*T55*BV55*BP55*N55^0.3*BJ55^0.4/V55^0.325</f>
        <v>1.08460879737651</v>
      </c>
      <c r="BY55" s="29"/>
      <c r="BZ55" s="29"/>
      <c r="CA55" s="3"/>
      <c r="CB55" s="3"/>
      <c r="CC55" s="3"/>
      <c r="CD55" s="3"/>
      <c r="CE55" s="3"/>
      <c r="CF55" s="3"/>
      <c r="CG55" t="s" s="30">
        <f>A55</f>
        <v>493</v>
      </c>
    </row>
    <row r="56" ht="12.75" customHeight="1">
      <c r="A56" t="s" s="25">
        <v>494</v>
      </c>
      <c r="B56" t="s" s="19">
        <v>495</v>
      </c>
      <c r="C56" t="s" s="19">
        <v>367</v>
      </c>
      <c r="D56" t="s" s="19">
        <v>496</v>
      </c>
      <c r="E56" t="s" s="19">
        <v>497</v>
      </c>
      <c r="F56" s="3"/>
      <c r="G56" s="3"/>
      <c r="H56" s="32"/>
      <c r="I56" s="32"/>
      <c r="J56" t="s" s="24">
        <v>154</v>
      </c>
      <c r="K56" s="36"/>
      <c r="L56" s="36"/>
      <c r="M56" s="11">
        <v>6.99</v>
      </c>
      <c r="N56" s="5">
        <v>6.99</v>
      </c>
      <c r="O56" s="11">
        <v>4.2</v>
      </c>
      <c r="P56" s="11">
        <v>0.58</v>
      </c>
      <c r="Q56" s="37"/>
      <c r="R56" s="36"/>
      <c r="S56" s="36"/>
      <c r="T56" s="38">
        <f>IF(S56&gt;0,1.048,IF(R56&gt;0,1.048,IF(Q56&gt;0,1.036,0.907+1.55*(P56/N56)-4.449*(P56/N56)^2)))</f>
        <v>1.004981101143878</v>
      </c>
      <c r="U56" s="39">
        <v>700</v>
      </c>
      <c r="V56" s="40">
        <f>IF(H56="x",75+U56,IF(M56&lt;6.66,150+U56,-1.7384*M56^2+92.38*M56-388+U56))</f>
        <v>872.7978021599999</v>
      </c>
      <c r="W56" s="5">
        <v>3.17</v>
      </c>
      <c r="X56" s="5">
        <v>3.07</v>
      </c>
      <c r="Y56" s="5">
        <v>2.63</v>
      </c>
      <c r="Z56" s="5">
        <v>1.8</v>
      </c>
      <c r="AA56" s="5">
        <v>0.17</v>
      </c>
      <c r="AB56" s="5"/>
      <c r="AC56" s="5">
        <v>8.699999999999999</v>
      </c>
      <c r="AD56" s="33"/>
      <c r="AE56" s="5">
        <f>IF(AD56=0,(W56+4*X56+2*Y56+4*Z56+AA56)*AC56/12+W56*AB56/1.5,AD56)</f>
        <v>20.358</v>
      </c>
      <c r="AF56" s="11">
        <v>9.57</v>
      </c>
      <c r="AG56" s="11"/>
      <c r="AH56" s="5">
        <f>IF(AC56=0,AE56+AF56*AG56/2,AE56+AC56*AG56/2)</f>
        <v>20.358</v>
      </c>
      <c r="AI56" s="5">
        <v>7.1</v>
      </c>
      <c r="AJ56" s="5">
        <v>2.37</v>
      </c>
      <c r="AK56" s="33"/>
      <c r="AL56" s="5">
        <f>IF(AK56=0,AI56*AJ56/2,AK56)</f>
        <v>8.413499999999999</v>
      </c>
      <c r="AM56" s="3"/>
      <c r="AN56" s="5"/>
      <c r="AO56" s="5"/>
      <c r="AP56" s="5">
        <f>AL56+AI56*(AN56-AO56)/2</f>
        <v>8.413499999999999</v>
      </c>
      <c r="AQ56" s="5">
        <f>0.1*(AE56+AL56)</f>
        <v>2.87715</v>
      </c>
      <c r="AR56" s="11">
        <v>9.57</v>
      </c>
      <c r="AS56" s="11"/>
      <c r="AT56" s="11"/>
      <c r="AU56" s="11"/>
      <c r="AV56" s="33">
        <v>21</v>
      </c>
      <c r="AW56" s="5">
        <f>IF(AV56=0,AS56/6*(AT56+AU56*4),AV56)</f>
        <v>21</v>
      </c>
      <c r="AX56" s="11">
        <v>0.8</v>
      </c>
      <c r="AY56" s="5">
        <f>IF(AX56&lt;0.149*M56+0.329,1,AX56/(0.149*M56+0.329))</f>
        <v>1</v>
      </c>
      <c r="AZ56" s="5">
        <f>IF(AW56*AY56&gt;AL56,(AW56*AY56-AL56)/4,0)</f>
        <v>3.146625</v>
      </c>
      <c r="BA56" s="12">
        <f>0.401+0.1831*(2*AR56^2/(AH56+AP56+AZ56))-0.02016*(2*AR56^2/(AH56+AP56+AZ56))^2+0.0007472*(2*AR56^2/(AH56+AP56+AZ56))^3</f>
        <v>0.9290480867004227</v>
      </c>
      <c r="BB56" s="3"/>
      <c r="BC56" s="3"/>
      <c r="BD56" s="3"/>
      <c r="BE56" s="3"/>
      <c r="BF56" s="33">
        <v>34</v>
      </c>
      <c r="BG56" s="5">
        <f>IF(BF56=0,(BC56+BD56)*(BB56/12+BE56/3),BF56)</f>
        <v>34</v>
      </c>
      <c r="BH56" s="5">
        <f>IF(BG56*AY56&gt;AL56+AZ56,BG56*AY56-AL56-AZ56,0)</f>
        <v>22.439875</v>
      </c>
      <c r="BI56" s="5">
        <f>IF(M56/1.6&lt;8,ROUND(M56/1.6,0),8)</f>
        <v>4</v>
      </c>
      <c r="BJ56" s="5">
        <f>(AH56+AP56+AZ56)*BA56+0.1*BH56</f>
        <v>31.89746046231493</v>
      </c>
      <c r="BK56" s="11">
        <v>1.22</v>
      </c>
      <c r="BL56" s="5">
        <f>M56*0.2</f>
        <v>1.398</v>
      </c>
      <c r="BM56" s="5">
        <f>ROUNDDOWN(M56/2.13,0)</f>
        <v>3</v>
      </c>
      <c r="BN56" s="12">
        <f>M56/4.26</f>
        <v>1.640845070422535</v>
      </c>
      <c r="BO56" s="5">
        <f>IF(M56&lt;8,1.22,IF(M56&lt;15.2,0.108333*M56+0.353,2))</f>
        <v>1.22</v>
      </c>
      <c r="BP56" s="12">
        <f>IF(BK56&lt;BO56,1+0.3*(BO56-BK56)/M56,1)</f>
        <v>1</v>
      </c>
      <c r="BQ56" s="39">
        <v>7.5</v>
      </c>
      <c r="BR56" s="39">
        <v>0</v>
      </c>
      <c r="BS56" t="s" s="24">
        <v>154</v>
      </c>
      <c r="BT56" s="36"/>
      <c r="BU56" s="36"/>
      <c r="BV56" s="5">
        <f>IF(BQ56&lt;(M56/0.3048)^0.5,1,IF(BU56="x",1-BR56*0.02,IF(BT56="x",1-BR56*0.01,1)))</f>
        <v>1</v>
      </c>
      <c r="BW56" s="12">
        <f>IF(K56="x",MIN(1.315,1.28+U56*N56/BJ56/AR56/1100),IF(L56="x",1.28,MAX(1.245,1.28-U56*N56/BJ56/AR56/1100)))</f>
        <v>1.265428156945662</v>
      </c>
      <c r="BX56" s="41">
        <f>BW56*T56*BV56*BP56*N56^0.3*BJ56^0.4/V56^0.325</f>
        <v>1.007961745841298</v>
      </c>
      <c r="BY56" s="29"/>
      <c r="BZ56" s="29"/>
      <c r="CA56" t="s" s="19">
        <v>213</v>
      </c>
      <c r="CB56" t="s" s="19">
        <v>430</v>
      </c>
      <c r="CC56" t="s" s="19">
        <v>164</v>
      </c>
      <c r="CD56" t="s" s="19">
        <v>498</v>
      </c>
      <c r="CE56" s="3"/>
      <c r="CF56" s="3"/>
      <c r="CG56" t="s" s="30">
        <f>A56</f>
        <v>499</v>
      </c>
    </row>
    <row r="57" ht="12.75" customHeight="1">
      <c r="A57" t="s" s="25">
        <v>500</v>
      </c>
      <c r="B57" t="s" s="19">
        <v>418</v>
      </c>
      <c r="C57" t="s" s="19">
        <v>501</v>
      </c>
      <c r="D57" t="s" s="19">
        <v>502</v>
      </c>
      <c r="E57" t="s" s="19">
        <v>503</v>
      </c>
      <c r="F57" s="3"/>
      <c r="G57" s="3"/>
      <c r="H57" s="32"/>
      <c r="I57" s="32"/>
      <c r="J57" s="36"/>
      <c r="K57" t="s" s="24">
        <v>154</v>
      </c>
      <c r="L57" s="36"/>
      <c r="M57" s="11">
        <v>11.37</v>
      </c>
      <c r="N57" s="5">
        <v>11.16</v>
      </c>
      <c r="O57" s="11">
        <v>8.800000000000001</v>
      </c>
      <c r="P57" s="11"/>
      <c r="Q57" s="37"/>
      <c r="R57" t="s" s="24">
        <v>504</v>
      </c>
      <c r="S57" s="36"/>
      <c r="T57" s="38">
        <f>IF(S57&gt;0,1.048,IF(R57&gt;0,1.048,IF(Q57&gt;0,1.036,0.907+1.55*(P57/N57)-4.449*(P57/N57)^2)))</f>
        <v>1.048</v>
      </c>
      <c r="U57" s="39">
        <v>2800</v>
      </c>
      <c r="V57" s="40">
        <f>IF(H57="x",75+U57,IF(M57&lt;6.66,150+U57,-1.7384*M57^2+92.38*M57-388+U57))</f>
        <v>3237.62563704</v>
      </c>
      <c r="W57" s="5"/>
      <c r="X57" s="5"/>
      <c r="Y57" s="5"/>
      <c r="Z57" s="5"/>
      <c r="AA57" s="5"/>
      <c r="AB57" s="5"/>
      <c r="AC57" s="5">
        <v>17</v>
      </c>
      <c r="AD57" s="33">
        <v>48</v>
      </c>
      <c r="AE57" s="5">
        <f>IF(AD57=0,(W57+4*X57+2*Y57+4*Z57+AA57)*AC57/12+W57*AB57/1.5,AD57)</f>
        <v>48</v>
      </c>
      <c r="AF57" s="11">
        <v>17.2</v>
      </c>
      <c r="AG57" s="11">
        <v>0.7</v>
      </c>
      <c r="AH57" s="5">
        <f>IF(AC57=0,AE57+AF57*AG57/2,AE57+AC57*AG57/2)</f>
        <v>53.95</v>
      </c>
      <c r="AI57" s="5">
        <v>15</v>
      </c>
      <c r="AJ57" s="3"/>
      <c r="AK57" s="33">
        <v>30</v>
      </c>
      <c r="AL57" s="5">
        <f>IF(AK57=0,AI57*AJ57/2,AK57)</f>
        <v>30</v>
      </c>
      <c r="AM57" s="3"/>
      <c r="AN57" s="5"/>
      <c r="AO57" s="5"/>
      <c r="AP57" s="5">
        <f>AL57+AI57*(AN57-AO57)/2</f>
        <v>30</v>
      </c>
      <c r="AQ57" s="5">
        <f>0.1*(AE57+AL57)</f>
        <v>7.800000000000001</v>
      </c>
      <c r="AR57" s="11">
        <v>16.9</v>
      </c>
      <c r="AS57" s="11"/>
      <c r="AT57" s="11"/>
      <c r="AU57" s="11"/>
      <c r="AV57" s="33">
        <v>50</v>
      </c>
      <c r="AW57" s="5">
        <f>IF(AV57=0,AS57/6*(AT57+AU57*4),AV57)</f>
        <v>50</v>
      </c>
      <c r="AX57" s="11">
        <v>1.5</v>
      </c>
      <c r="AY57" s="5">
        <f>IF(AX57&lt;0.149*M57+0.329,1,AX57/(0.149*M57+0.329))</f>
        <v>1</v>
      </c>
      <c r="AZ57" s="5">
        <f>IF(AW57*AY57&gt;AL57,(AW57*AY57-AL57)/4,0)</f>
        <v>5</v>
      </c>
      <c r="BA57" s="12">
        <f>0.401+0.1831*(2*AR57^2/(AH57+AP57+AZ57))-0.02016*(2*AR57^2/(AH57+AP57+AZ57))^2+0.0007472*(2*AR57^2/(AH57+AP57+AZ57))^3</f>
        <v>0.9433255288626976</v>
      </c>
      <c r="BB57" s="3"/>
      <c r="BC57" s="3"/>
      <c r="BD57" s="3"/>
      <c r="BE57" s="3"/>
      <c r="BF57" s="33"/>
      <c r="BG57" s="5">
        <f>IF(BF57=0,(BC57+BD57)*(BB57/12+BE57/3),BF57)</f>
        <v>0</v>
      </c>
      <c r="BH57" s="5">
        <f>IF(BG57*AY57&gt;AL57+AZ57,BG57*AY57-AL57-AZ57,0)</f>
        <v>0</v>
      </c>
      <c r="BI57" s="5">
        <f>IF(M57/1.6&lt;8,ROUND(M57/1.6,0),8)</f>
        <v>7</v>
      </c>
      <c r="BJ57" s="5">
        <f>(AH57+AP57+AZ57)*BA57+0.1*BH57</f>
        <v>83.90880579233695</v>
      </c>
      <c r="BK57" s="11">
        <v>1.7</v>
      </c>
      <c r="BL57" s="5">
        <f>M57*0.2</f>
        <v>2.274</v>
      </c>
      <c r="BM57" s="5">
        <f>ROUNDDOWN(M57/2.13,0)</f>
        <v>5</v>
      </c>
      <c r="BN57" s="12">
        <f>M57/4.26</f>
        <v>2.669014084507042</v>
      </c>
      <c r="BO57" s="5">
        <f>IF(M57&lt;8,1.22,IF(M57&lt;15.2,0.108333*M57+0.353,2))</f>
        <v>1.58474621</v>
      </c>
      <c r="BP57" s="12">
        <f>IF(BK57&lt;BO57,1+0.3*(BO57-BK57)/M57,1)</f>
        <v>1</v>
      </c>
      <c r="BQ57" s="32"/>
      <c r="BR57" s="32"/>
      <c r="BS57" t="s" s="24">
        <v>154</v>
      </c>
      <c r="BT57" s="36"/>
      <c r="BU57" s="36"/>
      <c r="BV57" s="5">
        <f>IF(BQ57&lt;(M57/0.3048)^0.5,1,IF(BU57="x",1-BR57*0.02,IF(BT57="x",1-BR57*0.01,1)))</f>
        <v>1</v>
      </c>
      <c r="BW57" s="12">
        <f>IF(K57="x",MIN(1.315,1.28+U57*N57/BJ57/AR57/1100),IF(L57="x",1.28,MAX(1.245,1.28-U57*N57/BJ57/AR57/1100)))</f>
        <v>1.300032506669597</v>
      </c>
      <c r="BX57" s="41">
        <f>BW57*T57*BV57*BP57*N57^0.3*BJ57^0.4/V57^0.325</f>
        <v>1.194851997632244</v>
      </c>
      <c r="BY57" s="3"/>
      <c r="BZ57" s="3"/>
      <c r="CA57" t="s" s="19">
        <v>222</v>
      </c>
      <c r="CB57" t="s" s="19">
        <v>223</v>
      </c>
      <c r="CC57" t="s" s="19">
        <v>180</v>
      </c>
      <c r="CD57" s="3"/>
      <c r="CE57" s="3"/>
      <c r="CF57" s="3"/>
      <c r="CG57" t="s" s="30">
        <f>A57</f>
        <v>505</v>
      </c>
    </row>
    <row r="58" ht="12.75" customHeight="1">
      <c r="A58" t="s" s="25">
        <v>506</v>
      </c>
      <c r="B58" t="s" s="19">
        <v>507</v>
      </c>
      <c r="C58" t="s" s="19">
        <v>344</v>
      </c>
      <c r="D58" t="s" s="19">
        <v>345</v>
      </c>
      <c r="E58" t="s" s="19">
        <v>508</v>
      </c>
      <c r="F58" s="3"/>
      <c r="G58" s="3"/>
      <c r="H58" s="32"/>
      <c r="I58" s="32"/>
      <c r="J58" s="36"/>
      <c r="K58" t="s" s="24">
        <v>154</v>
      </c>
      <c r="L58" s="36"/>
      <c r="M58" s="11">
        <v>8.9</v>
      </c>
      <c r="N58" s="5">
        <v>8.550000000000001</v>
      </c>
      <c r="O58" s="11"/>
      <c r="P58" s="11"/>
      <c r="Q58" s="37"/>
      <c r="R58" t="s" s="24">
        <v>161</v>
      </c>
      <c r="S58" s="36"/>
      <c r="T58" s="38">
        <f>IF(S58&gt;0,1.048,IF(R58&gt;0,1.048,IF(Q58&gt;0,1.036,0.907+1.55*(P58/N58)-4.449*(P58/N58)^2)))</f>
        <v>1.048</v>
      </c>
      <c r="U58" s="39">
        <v>1414</v>
      </c>
      <c r="V58" s="40">
        <f>IF(H58="x",75+U58,IF(M58&lt;6.66,150+U58,-1.7384*M58^2+92.38*M58-388+U58))</f>
        <v>1710.483336</v>
      </c>
      <c r="W58" s="5">
        <v>3.6</v>
      </c>
      <c r="X58" s="5">
        <v>3.47</v>
      </c>
      <c r="Y58" s="5">
        <v>2.97</v>
      </c>
      <c r="Z58" s="5">
        <v>2.04</v>
      </c>
      <c r="AA58" s="5">
        <v>0.8</v>
      </c>
      <c r="AB58" s="5">
        <v>0.09</v>
      </c>
      <c r="AC58" s="5">
        <v>10.57</v>
      </c>
      <c r="AD58" s="33"/>
      <c r="AE58" s="5">
        <f>IF(AD58=0,(W58+4*X58+2*Y58+4*Z58+AA58)*AC58/12+W58*AB58/1.5,AD58)</f>
        <v>28.73738333333334</v>
      </c>
      <c r="AF58" s="11">
        <v>11.51</v>
      </c>
      <c r="AG58" s="11">
        <v>0.48</v>
      </c>
      <c r="AH58" s="5">
        <f>IF(AC58=0,AE58+AF58*AG58/2,AE58+AC58*AG58/2)</f>
        <v>31.27418333333334</v>
      </c>
      <c r="AI58" s="5">
        <v>9.949999999999999</v>
      </c>
      <c r="AJ58" s="5">
        <v>3.2</v>
      </c>
      <c r="AK58" s="33"/>
      <c r="AL58" s="5">
        <f>IF(AK58=0,AI58*AJ58/2,AK58)</f>
        <v>15.92</v>
      </c>
      <c r="AM58" s="3"/>
      <c r="AN58" s="5"/>
      <c r="AO58" s="5"/>
      <c r="AP58" s="5">
        <f>AL58+AI58*(AN58-AO58)/2</f>
        <v>15.92</v>
      </c>
      <c r="AQ58" s="5">
        <f>0.1*(AE58+AL58)</f>
        <v>4.465738333333333</v>
      </c>
      <c r="AR58" s="11">
        <v>11.9</v>
      </c>
      <c r="AS58" s="11"/>
      <c r="AT58" s="11"/>
      <c r="AU58" s="11"/>
      <c r="AV58" s="33">
        <v>0</v>
      </c>
      <c r="AW58" s="5">
        <f>IF(AV58=0,AS58/6*(AT58+AU58*4),AV58)</f>
        <v>0</v>
      </c>
      <c r="AX58" s="11">
        <v>1.8</v>
      </c>
      <c r="AY58" s="5">
        <f>IF(AX58&lt;0.149*M58+0.329,1,AX58/(0.149*M58+0.329))</f>
        <v>1.087547580206634</v>
      </c>
      <c r="AZ58" s="5">
        <f>IF(AW58*AY58&gt;AL58,(AW58*AY58-AL58)/4,0)</f>
        <v>0</v>
      </c>
      <c r="BA58" s="12">
        <f>0.401+0.1831*(2*AR58^2/(AH58+AP58+AZ58))-0.02016*(2*AR58^2/(AH58+AP58+AZ58))^2+0.0007472*(2*AR58^2/(AH58+AP58+AZ58))^3</f>
        <v>0.9352606406720835</v>
      </c>
      <c r="BB58" s="3"/>
      <c r="BC58" s="3"/>
      <c r="BD58" s="3"/>
      <c r="BE58" s="3"/>
      <c r="BF58" s="33">
        <v>69</v>
      </c>
      <c r="BG58" s="5">
        <f>IF(BF58=0,(BC58+BD58)*(BB58/12+BE58/3),BF58)</f>
        <v>69</v>
      </c>
      <c r="BH58" s="5">
        <f>IF(BG58*AY58&gt;AL58+AZ58,BG58*AY58-AL58-AZ58,0)</f>
        <v>59.12078303425776</v>
      </c>
      <c r="BI58" s="5">
        <f>IF(M58/1.6&lt;8,ROUND(M58/1.6,0),8)</f>
        <v>6</v>
      </c>
      <c r="BJ58" s="5">
        <f>(AH58+AP58+AZ58)*BA58+0.1*BH58</f>
        <v>50.05094044375487</v>
      </c>
      <c r="BK58" s="11">
        <v>1.65</v>
      </c>
      <c r="BL58" s="5">
        <f>M58*0.2</f>
        <v>1.78</v>
      </c>
      <c r="BM58" s="5">
        <f>ROUNDDOWN(M58/2.13,0)</f>
        <v>4</v>
      </c>
      <c r="BN58" s="12">
        <f>M58/4.26</f>
        <v>2.089201877934272</v>
      </c>
      <c r="BO58" s="5">
        <f>IF(M58&lt;8,1.22,IF(M58&lt;15.2,0.108333*M58+0.353,2))</f>
        <v>1.3171637</v>
      </c>
      <c r="BP58" s="12">
        <f>IF(BK58&lt;BO58,1+0.3*(BO58-BK58)/M58,1)</f>
        <v>1</v>
      </c>
      <c r="BQ58" s="32"/>
      <c r="BR58" s="39">
        <v>0</v>
      </c>
      <c r="BS58" t="s" s="24">
        <v>154</v>
      </c>
      <c r="BT58" s="36"/>
      <c r="BU58" s="36"/>
      <c r="BV58" s="5">
        <f>IF(BQ58&lt;(M58/0.3048)^0.5,1,IF(BU58="x",1-BR58*0.02,IF(BT58="x",1-BR58*0.01,1)))</f>
        <v>1</v>
      </c>
      <c r="BW58" s="12">
        <f>IF(K58="x",MIN(1.315,1.28+U58*N58/BJ58/AR58/1100),IF(L58="x",1.28,MAX(1.245,1.28-U58*N58/BJ58/AR58/1100)))</f>
        <v>1.298452857818694</v>
      </c>
      <c r="BX58" s="41">
        <f>BW58*T58*BV58*BP58*N58^0.3*BJ58^0.4/V58^0.325</f>
        <v>1.102499941408288</v>
      </c>
      <c r="BY58" s="29"/>
      <c r="BZ58" s="29"/>
      <c r="CA58" t="s" s="19">
        <v>509</v>
      </c>
      <c r="CB58" t="s" s="19">
        <v>510</v>
      </c>
      <c r="CC58" t="s" s="19">
        <v>254</v>
      </c>
      <c r="CD58" t="s" s="19">
        <v>483</v>
      </c>
      <c r="CE58" s="3"/>
      <c r="CF58" s="3"/>
      <c r="CG58" t="s" s="30">
        <f>A58</f>
        <v>511</v>
      </c>
    </row>
    <row r="59" ht="12.75" customHeight="1">
      <c r="A59" t="s" s="25">
        <v>512</v>
      </c>
      <c r="B59" t="s" s="19">
        <v>513</v>
      </c>
      <c r="C59" t="s" s="19">
        <v>218</v>
      </c>
      <c r="D59" t="s" s="19">
        <v>514</v>
      </c>
      <c r="E59" t="s" s="19">
        <v>515</v>
      </c>
      <c r="F59" s="3"/>
      <c r="G59" s="3"/>
      <c r="H59" s="32"/>
      <c r="I59" s="32"/>
      <c r="J59" t="s" s="24">
        <v>154</v>
      </c>
      <c r="K59" s="36"/>
      <c r="L59" s="36"/>
      <c r="M59" s="11">
        <v>15.2</v>
      </c>
      <c r="N59" s="5">
        <v>15.24</v>
      </c>
      <c r="O59" s="11">
        <v>8</v>
      </c>
      <c r="P59" s="11"/>
      <c r="Q59" s="37"/>
      <c r="R59" t="s" s="24">
        <v>422</v>
      </c>
      <c r="S59" s="36"/>
      <c r="T59" s="38">
        <f>IF(S59&gt;0,1.048,IF(R59&gt;0,1.048,IF(Q59&gt;0,1.036,0.907+1.55*(P59/N59)-4.449*(P59/N59)^2)))</f>
        <v>1.048</v>
      </c>
      <c r="U59" s="39">
        <v>10000</v>
      </c>
      <c r="V59" s="40">
        <f>IF(H59="x",75+U59,IF(M59&lt;6.66,150+U59,-1.7384*M59^2+92.38*M59-388+U59))</f>
        <v>10614.536064</v>
      </c>
      <c r="W59" s="5"/>
      <c r="X59" s="5"/>
      <c r="Y59" s="5"/>
      <c r="Z59" s="5"/>
      <c r="AA59" s="5"/>
      <c r="AB59" s="5"/>
      <c r="AC59" s="5"/>
      <c r="AD59" s="33">
        <v>70</v>
      </c>
      <c r="AE59" s="5">
        <f>IF(AD59=0,(W59+4*X59+2*Y59+4*Z59+AA59)*AC59/12+W59*AB59/1.5,AD59)</f>
        <v>70</v>
      </c>
      <c r="AF59" s="11">
        <v>19.8</v>
      </c>
      <c r="AG59" s="11"/>
      <c r="AH59" s="5">
        <f>IF(AC59=0,AE59+AF59*AG59/2,AE59+AC59*AG59/2)</f>
        <v>70</v>
      </c>
      <c r="AI59" s="3"/>
      <c r="AJ59" s="3"/>
      <c r="AK59" s="33">
        <v>62</v>
      </c>
      <c r="AL59" s="5">
        <f>IF(AK59=0,AI59*AJ59/2,AK59)</f>
        <v>62</v>
      </c>
      <c r="AM59" s="3"/>
      <c r="AN59" s="5"/>
      <c r="AO59" s="5">
        <v>0.16</v>
      </c>
      <c r="AP59" s="5">
        <f>AL59+AI59*(AN59-AO59)/2</f>
        <v>62</v>
      </c>
      <c r="AQ59" s="5">
        <f>0.1*(AE59+AL59)</f>
        <v>13.2</v>
      </c>
      <c r="AR59" s="11">
        <v>19.8</v>
      </c>
      <c r="AS59" s="11"/>
      <c r="AT59" s="11"/>
      <c r="AU59" s="11"/>
      <c r="AV59" s="33"/>
      <c r="AW59" s="5">
        <f>IF(AV59=0,AS59/6*(AT59+AU59*4),AV59)</f>
        <v>0</v>
      </c>
      <c r="AX59" s="11">
        <v>0.5</v>
      </c>
      <c r="AY59" s="5">
        <f>IF(AX59&lt;0.149*M59+0.329,1,AX59/(0.149*M59+0.329))</f>
        <v>1</v>
      </c>
      <c r="AZ59" s="5">
        <f>IF(AW59*AY59&gt;AL59,(AW59*AY59-AL59)/4,0)</f>
        <v>0</v>
      </c>
      <c r="BA59" s="12">
        <f>0.401+0.1831*(2*AR59^2/(AH59+AP59+AZ59))-0.02016*(2*AR59^2/(AH59+AP59+AZ59))^2+0.0007472*(2*AR59^2/(AH59+AP59+AZ59))^3</f>
        <v>0.9338982251647999</v>
      </c>
      <c r="BB59" s="3"/>
      <c r="BC59" s="3"/>
      <c r="BD59" s="3"/>
      <c r="BE59" s="3"/>
      <c r="BF59" s="33">
        <v>112</v>
      </c>
      <c r="BG59" s="5">
        <f>IF(BF59=0,(BC59+BD59)*(BB59/12+BE59/3),BF59)</f>
        <v>112</v>
      </c>
      <c r="BH59" s="5">
        <f>IF(BG59*AY59&gt;AL59+AZ59,BG59*AY59-AL59-AZ59,0)</f>
        <v>50</v>
      </c>
      <c r="BI59" s="42">
        <f>IF(M59/1.6&lt;8,ROUND(M59/1.6,0),8)</f>
        <v>8</v>
      </c>
      <c r="BJ59" s="5">
        <f>(AH59+AP59+AZ59)*BA59+0.1*BH59</f>
        <v>128.2745657217536</v>
      </c>
      <c r="BK59" s="11">
        <v>1.95</v>
      </c>
      <c r="BL59" s="5">
        <f>M59*0.2</f>
        <v>3.04</v>
      </c>
      <c r="BM59" s="5">
        <f>ROUNDDOWN(M59/2.13,0)</f>
        <v>7</v>
      </c>
      <c r="BN59" s="12">
        <f>M59/4.26</f>
        <v>3.568075117370892</v>
      </c>
      <c r="BO59" s="5">
        <f>IF(M59&lt;8,1.22,IF(M59&lt;15.2,0.108333*M59+0.353,2))</f>
        <v>2</v>
      </c>
      <c r="BP59" s="12">
        <f>IF(BK59&lt;BO59,1+0.3*(BO59-BK59)/M59,1)</f>
        <v>1.000986842105263</v>
      </c>
      <c r="BQ59" s="39">
        <v>9</v>
      </c>
      <c r="BR59" s="39">
        <v>2</v>
      </c>
      <c r="BS59" s="36"/>
      <c r="BT59" t="s" s="24">
        <v>154</v>
      </c>
      <c r="BU59" s="36"/>
      <c r="BV59" s="5">
        <f>IF(BQ59&lt;(M59/0.3048)^0.5,1,IF(BU59="x",1-BR59*0.02,IF(BT59="x",1-BR59*0.01,1)))</f>
        <v>0.98</v>
      </c>
      <c r="BW59" s="12">
        <f>IF(K59="x",MIN(1.315,1.28+U59*N59/BJ59/AR59/1100),IF(L59="x",1.28,MAX(1.245,1.28-U59*N59/BJ59/AR59/1100)))</f>
        <v>1.245</v>
      </c>
      <c r="BX59" s="41">
        <f>BW59*T59*BV59*BP59*N59^0.3*BJ59^0.4/V59^0.325</f>
        <v>0.9929307472149776</v>
      </c>
      <c r="BY59" s="29"/>
      <c r="BZ59" s="29"/>
      <c r="CA59" t="s" s="19">
        <v>188</v>
      </c>
      <c r="CB59" t="s" s="19">
        <v>516</v>
      </c>
      <c r="CC59" t="s" s="19">
        <v>164</v>
      </c>
      <c r="CD59" t="s" s="19">
        <v>517</v>
      </c>
      <c r="CE59" s="3"/>
      <c r="CF59" s="3"/>
      <c r="CG59" t="s" s="30">
        <f>A59</f>
        <v>518</v>
      </c>
    </row>
    <row r="60" ht="12.75" customHeight="1">
      <c r="A60" t="s" s="25">
        <v>519</v>
      </c>
      <c r="B60" t="s" s="19">
        <v>520</v>
      </c>
      <c r="C60" t="s" s="19">
        <v>169</v>
      </c>
      <c r="D60" t="s" s="19">
        <v>169</v>
      </c>
      <c r="E60" t="s" s="19">
        <v>521</v>
      </c>
      <c r="F60" s="3"/>
      <c r="G60" s="3"/>
      <c r="H60" s="32"/>
      <c r="I60" s="32"/>
      <c r="J60" t="s" s="24">
        <v>154</v>
      </c>
      <c r="K60" s="36"/>
      <c r="L60" s="36"/>
      <c r="M60" s="11">
        <v>10.15</v>
      </c>
      <c r="N60" s="5">
        <v>10.15</v>
      </c>
      <c r="O60" s="11"/>
      <c r="P60" s="11">
        <v>1</v>
      </c>
      <c r="Q60" s="37"/>
      <c r="R60" s="36"/>
      <c r="S60" s="36"/>
      <c r="T60" s="38">
        <f>IF(S60&gt;0,1.048,IF(R60&gt;0,1.048,IF(Q60&gt;0,1.036,0.907+1.55*(P60/N60)-4.449*(P60/N60)^2)))</f>
        <v>1.0165246184086</v>
      </c>
      <c r="U60" s="39">
        <v>3000</v>
      </c>
      <c r="V60" s="40">
        <f>IF(H60="x",75+U60,IF(M60&lt;6.66,150+U60,-1.7384*M60^2+92.38*M60-388+U60))</f>
        <v>3370.562686</v>
      </c>
      <c r="W60" s="5"/>
      <c r="X60" s="5"/>
      <c r="Y60" s="5"/>
      <c r="Z60" s="5"/>
      <c r="AA60" s="5"/>
      <c r="AB60" s="5"/>
      <c r="AC60" s="5"/>
      <c r="AD60" s="33">
        <v>36</v>
      </c>
      <c r="AE60" s="5">
        <f>IF(AD60=0,(W60+4*X60+2*Y60+4*Z60+AA60)*AC60/12+W60*AB60/1.5,AD60)</f>
        <v>36</v>
      </c>
      <c r="AF60" s="11"/>
      <c r="AG60" s="11"/>
      <c r="AH60" s="5">
        <f>IF(AC60=0,AE60+AF60*AG60/2,AE60+AC60*AG60/2)</f>
        <v>36</v>
      </c>
      <c r="AI60" s="3"/>
      <c r="AJ60" s="3"/>
      <c r="AK60" s="33">
        <v>19</v>
      </c>
      <c r="AL60" s="5">
        <f>IF(AK60=0,AI60*AJ60/2,AK60)</f>
        <v>19</v>
      </c>
      <c r="AM60" s="3"/>
      <c r="AN60" s="5"/>
      <c r="AO60" s="5"/>
      <c r="AP60" s="5">
        <f>AL60+AI60*(AN60-AO60)/2</f>
        <v>19</v>
      </c>
      <c r="AQ60" s="5">
        <f>0.1*(AE60+AL60)</f>
        <v>5.5</v>
      </c>
      <c r="AR60" s="11">
        <v>12.7</v>
      </c>
      <c r="AS60" s="11"/>
      <c r="AT60" s="11"/>
      <c r="AU60" s="11"/>
      <c r="AV60" s="33">
        <v>31</v>
      </c>
      <c r="AW60" s="5">
        <f>IF(AV60=0,AS60/6*(AT60+AU60*4),AV60)</f>
        <v>31</v>
      </c>
      <c r="AX60" s="11">
        <v>0</v>
      </c>
      <c r="AY60" s="5">
        <f>IF(AX60&lt;0.149*M60+0.329,1,AX60/(0.149*M60+0.329))</f>
        <v>1</v>
      </c>
      <c r="AZ60" s="5">
        <f>IF(AW60*AY60&gt;AL60,(AW60*AY60-AL60)/4,0)</f>
        <v>3</v>
      </c>
      <c r="BA60" s="12">
        <f>0.401+0.1831*(2*AR60^2/(AH60+AP60+AZ60))-0.02016*(2*AR60^2/(AH60+AP60+AZ60))^2+0.0007472*(2*AR60^2/(AH60+AP60+AZ60))^3</f>
        <v>0.9242948997265825</v>
      </c>
      <c r="BB60" s="3"/>
      <c r="BC60" s="3"/>
      <c r="BD60" s="3"/>
      <c r="BE60" s="3"/>
      <c r="BF60" s="33">
        <v>57.79</v>
      </c>
      <c r="BG60" s="5">
        <f>IF(BF60=0,(BC60+BD60)*(BB60/12+BE60/3),BF60)</f>
        <v>57.79</v>
      </c>
      <c r="BH60" s="5">
        <f>IF(BG60*AY60&gt;AL60+AZ60,BG60*AY60-AL60-AZ60,0)</f>
        <v>35.79</v>
      </c>
      <c r="BI60" s="5">
        <f>IF(M60/1.6&lt;8,ROUND(M60/1.6,0),8)</f>
        <v>6</v>
      </c>
      <c r="BJ60" s="5">
        <f>(AH60+AP60+AZ60)*BA60+0.1*BH60</f>
        <v>57.18810418414179</v>
      </c>
      <c r="BK60" s="11">
        <v>1.85</v>
      </c>
      <c r="BL60" s="5">
        <f>M60*0.2</f>
        <v>2.03</v>
      </c>
      <c r="BM60" s="5">
        <f>ROUNDDOWN(M60/2.13,0)</f>
        <v>4</v>
      </c>
      <c r="BN60" s="12">
        <f>M60/4.26</f>
        <v>2.382629107981221</v>
      </c>
      <c r="BO60" s="5">
        <f>IF(M60&lt;8,1.22,IF(M60&lt;15.2,0.108333*M60+0.353,2))</f>
        <v>1.45257995</v>
      </c>
      <c r="BP60" s="12">
        <f>IF(BK60&lt;BO60,1+0.3*(BO60-BK60)/M60,1)</f>
        <v>1</v>
      </c>
      <c r="BQ60" s="32"/>
      <c r="BR60" s="39">
        <v>0</v>
      </c>
      <c r="BS60" t="s" s="24">
        <v>154</v>
      </c>
      <c r="BT60" s="36"/>
      <c r="BU60" s="36"/>
      <c r="BV60" s="5">
        <f>IF(BQ60&lt;(M60/0.3048)^0.5,1,IF(BU60="x",1-BR60*0.02,IF(BT60="x",1-BR60*0.01,1)))</f>
        <v>1</v>
      </c>
      <c r="BW60" s="12">
        <f>IF(K60="x",MIN(1.315,1.28+U60*N60/BJ60/AR60/1100),IF(L60="x",1.28,MAX(1.245,1.28-U60*N60/BJ60/AR60/1100)))</f>
        <v>1.245</v>
      </c>
      <c r="BX60" s="41">
        <f>BW60*T60*BV60*BP60*N60^0.3*BJ60^0.4/V60^0.325</f>
        <v>0.913368568197081</v>
      </c>
      <c r="BY60" s="29"/>
      <c r="BZ60" s="29"/>
      <c r="CA60" t="s" s="19">
        <v>213</v>
      </c>
      <c r="CB60" t="s" s="19">
        <v>357</v>
      </c>
      <c r="CC60" t="s" s="19">
        <v>180</v>
      </c>
      <c r="CD60" t="s" s="19">
        <v>522</v>
      </c>
      <c r="CE60" s="3"/>
      <c r="CF60" s="3"/>
      <c r="CG60" t="s" s="30">
        <f>A60</f>
        <v>523</v>
      </c>
    </row>
    <row r="61" ht="12.75" customHeight="1">
      <c r="A61" t="s" s="25">
        <v>524</v>
      </c>
      <c r="B61" t="s" s="19">
        <v>389</v>
      </c>
      <c r="C61" t="s" s="19">
        <v>390</v>
      </c>
      <c r="D61" t="s" s="19">
        <v>525</v>
      </c>
      <c r="E61" t="s" s="19">
        <v>526</v>
      </c>
      <c r="F61" t="s" s="19">
        <v>527</v>
      </c>
      <c r="G61" s="3"/>
      <c r="H61" s="32"/>
      <c r="I61" s="32"/>
      <c r="J61" t="s" s="24">
        <v>154</v>
      </c>
      <c r="K61" s="36"/>
      <c r="L61" s="36"/>
      <c r="M61" s="11">
        <v>8.529999999999999</v>
      </c>
      <c r="N61" s="5">
        <v>8.529999999999999</v>
      </c>
      <c r="O61" s="11">
        <v>5.2</v>
      </c>
      <c r="P61" s="11"/>
      <c r="Q61" s="37"/>
      <c r="R61" t="s" s="24">
        <v>528</v>
      </c>
      <c r="S61" s="36"/>
      <c r="T61" s="38">
        <f>IF(S61&gt;0,1.048,IF(R61&gt;0,1.048,IF(Q61&gt;0,1.036,0.907+1.55*(P61/N61)-4.449*(P61/N61)^2)))</f>
        <v>1.048</v>
      </c>
      <c r="U61" s="39">
        <v>1040</v>
      </c>
      <c r="V61" s="40">
        <f>IF(H61="x",75+U61,IF(M61&lt;6.66,150+U61,-1.7384*M61^2+92.38*M61-388+U61))</f>
        <v>1313.51385144</v>
      </c>
      <c r="W61" s="5"/>
      <c r="X61" s="5"/>
      <c r="Y61" s="5"/>
      <c r="Z61" s="5"/>
      <c r="AA61" s="5"/>
      <c r="AB61" s="5"/>
      <c r="AC61" s="5">
        <v>14</v>
      </c>
      <c r="AD61" s="33">
        <v>43</v>
      </c>
      <c r="AE61" s="5">
        <f>IF(AD61=0,(W61+4*X61+2*Y61+4*Z61+AA61)*AC61/12+W61*AB61/1.5,AD61)</f>
        <v>43</v>
      </c>
      <c r="AF61" s="11">
        <v>14.7</v>
      </c>
      <c r="AG61" s="11">
        <v>0.48</v>
      </c>
      <c r="AH61" s="5">
        <f>IF(AC61=0,AE61+AF61*AG61/2,AE61+AC61*AG61/2)</f>
        <v>46.36</v>
      </c>
      <c r="AI61" s="5">
        <v>10.6</v>
      </c>
      <c r="AJ61" s="3"/>
      <c r="AK61" s="33">
        <v>11.13</v>
      </c>
      <c r="AL61" s="5">
        <f>IF(AK61=0,AI61*AJ61/2,AK61)</f>
        <v>11.13</v>
      </c>
      <c r="AM61" t="s" s="19">
        <v>154</v>
      </c>
      <c r="AN61" s="5"/>
      <c r="AO61" s="5"/>
      <c r="AP61" s="5">
        <f>AL61+AI61*(AN61-AO61)/2</f>
        <v>11.13</v>
      </c>
      <c r="AQ61" s="5">
        <f>0.1*(AE61+AL61)</f>
        <v>5.413</v>
      </c>
      <c r="AR61" s="11">
        <v>14.7</v>
      </c>
      <c r="AS61" s="11"/>
      <c r="AT61" s="11"/>
      <c r="AU61" s="11"/>
      <c r="AV61" s="33"/>
      <c r="AW61" s="5">
        <f>IF(AV61=0,AS61/6*(AT61+AU61*4),AV61)</f>
        <v>0</v>
      </c>
      <c r="AX61" s="11">
        <v>1.6</v>
      </c>
      <c r="AY61" s="5">
        <f>IF(AX61&lt;0.149*M61+0.329,1,AX61/(0.149*M61+0.329))</f>
        <v>1.000018750351569</v>
      </c>
      <c r="AZ61" s="5">
        <f>IF(AW61*AY61&gt;AL61,(AW61*AY61-AL61)/4,0)</f>
        <v>0</v>
      </c>
      <c r="BA61" s="12">
        <f>0.401+0.1831*(2*AR61^2/(AH61+AP61+AZ61))-0.02016*(2*AR61^2/(AH61+AP61+AZ61))^2+0.0007472*(2*AR61^2/(AH61+AP61+AZ61))^3</f>
        <v>0.9555926788911099</v>
      </c>
      <c r="BB61" s="3"/>
      <c r="BC61" s="3"/>
      <c r="BD61" s="3"/>
      <c r="BE61" s="3"/>
      <c r="BF61" s="33">
        <v>72.18000000000001</v>
      </c>
      <c r="BG61" s="5">
        <f>IF(BF61=0,(BC61+BD61)*(BB61/12+BE61/3),BF61)</f>
        <v>72.18000000000001</v>
      </c>
      <c r="BH61" s="5">
        <f>IF(BG61*AY61&gt;AL61+AZ61,BG61*AY61-AL61-AZ61,0)</f>
        <v>61.05135340037626</v>
      </c>
      <c r="BI61" s="5">
        <f>IF(M61/1.6&lt;8,ROUND(M61/1.6,0),8)</f>
        <v>5</v>
      </c>
      <c r="BJ61" s="5">
        <f>(AH61+AP61+AZ61)*BA61+0.1*BH61</f>
        <v>61.04215844948754</v>
      </c>
      <c r="BK61" s="11">
        <v>1.22</v>
      </c>
      <c r="BL61" s="5">
        <f>M61*0.2</f>
        <v>1.706</v>
      </c>
      <c r="BM61" s="5">
        <f>ROUNDDOWN(M61/2.13,0)</f>
        <v>4</v>
      </c>
      <c r="BN61" s="12">
        <f>M61/4.26</f>
        <v>2.002347417840376</v>
      </c>
      <c r="BO61" s="5">
        <f>IF(M61&lt;8,1.22,IF(M61&lt;15.2,0.108333*M61+0.353,2))</f>
        <v>1.27708049</v>
      </c>
      <c r="BP61" s="12">
        <f>IF(BK61&lt;BO61,1+0.3*(BO61-BK61)/M61,1)</f>
        <v>1.002007520164127</v>
      </c>
      <c r="BQ61" s="32"/>
      <c r="BR61" s="39">
        <v>0</v>
      </c>
      <c r="BS61" s="36"/>
      <c r="BT61" s="36"/>
      <c r="BU61" s="36"/>
      <c r="BV61" s="5">
        <f>IF(BQ61&lt;(M61/0.3048)^0.5,1,IF(BU61="x",1-BR61*0.02,IF(BT61="x",1-BR61*0.01,1)))</f>
        <v>1</v>
      </c>
      <c r="BW61" s="12">
        <f>IF(K61="x",MIN(1.315,1.28+U61*N61/BJ61/AR61/1100),IF(L61="x",1.28,MAX(1.245,1.28-U61*N61/BJ61/AR61/1100)))</f>
        <v>1.27101242621752</v>
      </c>
      <c r="BX61" s="41">
        <f>BW61*T61*BV61*BP61*N61^0.3*BJ61^0.4/V61^0.325</f>
        <v>1.274757156320335</v>
      </c>
      <c r="BY61" s="29"/>
      <c r="BZ61" s="29"/>
      <c r="CA61" s="3"/>
      <c r="CB61" s="3"/>
      <c r="CC61" s="3"/>
      <c r="CD61" s="3"/>
      <c r="CE61" s="3"/>
      <c r="CF61" s="3"/>
      <c r="CG61" t="s" s="30">
        <f>A61</f>
        <v>529</v>
      </c>
    </row>
    <row r="62" ht="12.75" customHeight="1">
      <c r="A62" t="s" s="25">
        <v>530</v>
      </c>
      <c r="B62" t="s" s="19">
        <v>178</v>
      </c>
      <c r="C62" t="s" s="19">
        <v>344</v>
      </c>
      <c r="D62" t="s" s="19">
        <v>345</v>
      </c>
      <c r="E62" t="s" s="19">
        <v>531</v>
      </c>
      <c r="F62" t="s" s="31">
        <v>532</v>
      </c>
      <c r="G62" t="s" s="31">
        <v>533</v>
      </c>
      <c r="H62" s="49"/>
      <c r="I62" s="49"/>
      <c r="J62" s="50"/>
      <c r="K62" t="s" s="24">
        <v>154</v>
      </c>
      <c r="L62" s="50"/>
      <c r="M62" s="11">
        <v>7.34</v>
      </c>
      <c r="N62" s="15">
        <f>7.34*(12.5/13.5)</f>
        <v>6.796296296296296</v>
      </c>
      <c r="O62" s="11">
        <v>5.5</v>
      </c>
      <c r="P62" s="11"/>
      <c r="Q62" s="37"/>
      <c r="R62" t="s" s="24">
        <v>534</v>
      </c>
      <c r="S62" s="50"/>
      <c r="T62" s="38">
        <f>IF(S62&gt;0,1.048,IF(R62&gt;0,1.048,IF(Q62&gt;0,1.036,0.907+1.55*(P62/N62)-4.449*(P62/N62)^2)))</f>
        <v>1.048</v>
      </c>
      <c r="U62" s="51">
        <v>850</v>
      </c>
      <c r="V62" s="45">
        <f>IF(H62="x",75+U62,IF(M62&lt;6.66,150+U62,-1.7384*M62^2+92.38*M62-388+U62))</f>
        <v>1046.41185696</v>
      </c>
      <c r="W62" s="9"/>
      <c r="X62" s="9"/>
      <c r="Y62" s="9"/>
      <c r="Z62" s="9"/>
      <c r="AA62" s="9"/>
      <c r="AB62" s="9"/>
      <c r="AC62" s="9"/>
      <c r="AD62" s="33">
        <v>22.5</v>
      </c>
      <c r="AE62" s="5">
        <f>IF(AD62=0,(W62+4*X62+2*Y62+4*Z62+AA62)*AC62/12+W62*AB62/1.5,AD62)</f>
        <v>22.5</v>
      </c>
      <c r="AF62" s="11">
        <v>10.1</v>
      </c>
      <c r="AG62" s="11"/>
      <c r="AH62" s="5">
        <f>IF(AC62=0,AE62+AF62*AG62/2,AE62+AC62*AG62/2)</f>
        <v>22.5</v>
      </c>
      <c r="AI62" s="9"/>
      <c r="AJ62" s="9"/>
      <c r="AK62" s="33">
        <v>11.3</v>
      </c>
      <c r="AL62" s="5">
        <f>IF(AK62=0,AI62*AJ62/2,AK62)</f>
        <v>11.3</v>
      </c>
      <c r="AM62" s="32"/>
      <c r="AN62" s="11"/>
      <c r="AO62" s="11"/>
      <c r="AP62" s="5">
        <f>AL62+AI62*(AN62-AO62)/2</f>
        <v>11.3</v>
      </c>
      <c r="AQ62" s="5">
        <f>0.1*(AE62+AL62)</f>
        <v>3.38</v>
      </c>
      <c r="AR62" s="11">
        <v>10.1</v>
      </c>
      <c r="AS62" s="11"/>
      <c r="AT62" s="11"/>
      <c r="AU62" s="11"/>
      <c r="AV62" s="33">
        <v>22.5</v>
      </c>
      <c r="AW62" s="5">
        <f>IF(AV62=0,AS62/6*(AT62+AU62*4),AV62)</f>
        <v>22.5</v>
      </c>
      <c r="AX62" s="11">
        <f>0.8*(7.34/4.72)</f>
        <v>1.24406779661017</v>
      </c>
      <c r="AY62" s="5">
        <f>IF(AX62&lt;0.149*M62+0.329,1,AX62/(0.149*M62+0.329))</f>
        <v>1</v>
      </c>
      <c r="AZ62" s="5">
        <f>IF(AW62*AY62&gt;AL62,(AW62*AY62-AL62)/4,0)</f>
        <v>2.8</v>
      </c>
      <c r="BA62" s="12">
        <f>0.401+0.1831*(2*AR62^2/(AH62+AP62+AZ62))-0.02016*(2*AR62^2/(AH62+AP62+AZ62))^2+0.0007472*(2*AR62^2/(AH62+AP62+AZ62))^3</f>
        <v>0.9246486748044448</v>
      </c>
      <c r="BB62" s="9">
        <v>6.18</v>
      </c>
      <c r="BC62" s="9">
        <v>11.31</v>
      </c>
      <c r="BD62" s="9">
        <v>9.970000000000001</v>
      </c>
      <c r="BE62" s="9">
        <v>5.67</v>
      </c>
      <c r="BF62" s="33"/>
      <c r="BG62" s="5">
        <f>IF(BF62=0,(BC62+BD62)*(BB62/12+BE62/3),BF62)</f>
        <v>51.1784</v>
      </c>
      <c r="BH62" s="5">
        <f>IF(BG62*AY62&gt;AL62+AZ62,BG62*AY62-AL62-AZ62,0)</f>
        <v>37.0784</v>
      </c>
      <c r="BI62" s="5">
        <f>IF(M62/1.6&lt;8,ROUND(M62/1.6,0),8)</f>
        <v>5</v>
      </c>
      <c r="BJ62" s="15">
        <f>(AH62+AP62+AZ62)*BA62+0.1*BH62</f>
        <v>37.54998149784267</v>
      </c>
      <c r="BK62" s="11">
        <v>1.4</v>
      </c>
      <c r="BL62" s="5">
        <f>M62*0.2</f>
        <v>1.468</v>
      </c>
      <c r="BM62" s="5">
        <f>ROUNDDOWN(M62/2.13,0)</f>
        <v>3</v>
      </c>
      <c r="BN62" s="12">
        <f>M62/4.26</f>
        <v>1.723004694835681</v>
      </c>
      <c r="BO62" s="5">
        <f>IF(M62&lt;8,1.22,IF(M62&lt;15.2,0.108333*M62+0.353,2))</f>
        <v>1.22</v>
      </c>
      <c r="BP62" s="7">
        <f>IF(BK62&lt;BO62,1+0.3*(BO62-BK62)/M62,1)</f>
        <v>1</v>
      </c>
      <c r="BQ62" s="49"/>
      <c r="BR62" s="39">
        <v>0</v>
      </c>
      <c r="BS62" t="s" s="24">
        <v>154</v>
      </c>
      <c r="BT62" s="50"/>
      <c r="BU62" s="50"/>
      <c r="BV62" s="15">
        <f>IF(BQ62&lt;(M62/0.3048)^0.5,1,IF(BU62="x",1-BR62*0.02,IF(BT62="x",1-BR62*0.01,1)))</f>
        <v>1</v>
      </c>
      <c r="BW62" s="7">
        <f>IF(K62="x",MIN(1.315,1.28+U62*N62/BJ62/AR62/1100),IF(L62="x",1.28,MAX(1.245,1.28-U62*N62/BJ62/AR62/1100)))</f>
        <v>1.293847374693457</v>
      </c>
      <c r="BX62" s="41">
        <f>BW62*T62*BV62*BP62*N62^0.3*BJ62^0.4/V62^0.325</f>
        <v>1.072424067579511</v>
      </c>
      <c r="BY62" s="41"/>
      <c r="BZ62" s="41"/>
      <c r="CA62" t="s" s="31">
        <v>188</v>
      </c>
      <c r="CB62" s="52">
        <v>2007</v>
      </c>
      <c r="CC62" t="s" s="19">
        <v>180</v>
      </c>
      <c r="CD62" t="s" s="19">
        <v>535</v>
      </c>
      <c r="CE62" s="12"/>
      <c r="CF62" s="12"/>
      <c r="CG62" t="s" s="30">
        <f>A62</f>
        <v>536</v>
      </c>
    </row>
    <row r="63" ht="12.75" customHeight="1">
      <c r="A63" t="s" s="25">
        <v>537</v>
      </c>
      <c r="B63" t="s" s="19">
        <v>178</v>
      </c>
      <c r="C63" t="s" s="19">
        <v>344</v>
      </c>
      <c r="D63" t="s" s="19">
        <v>345</v>
      </c>
      <c r="E63" t="s" s="19">
        <v>538</v>
      </c>
      <c r="F63" s="3"/>
      <c r="G63" s="3"/>
      <c r="H63" s="32"/>
      <c r="I63" s="32"/>
      <c r="J63" s="36"/>
      <c r="K63" t="s" s="24">
        <v>154</v>
      </c>
      <c r="L63" s="36"/>
      <c r="M63" s="11">
        <v>7.34</v>
      </c>
      <c r="N63" s="5">
        <v>7.34</v>
      </c>
      <c r="O63" s="11">
        <v>5.5</v>
      </c>
      <c r="P63" s="11"/>
      <c r="Q63" s="37"/>
      <c r="R63" t="s" s="24">
        <v>534</v>
      </c>
      <c r="S63" s="36"/>
      <c r="T63" s="38">
        <f>IF(S63&gt;0,1.048,IF(R63&gt;0,1.048,IF(Q63&gt;0,1.036,0.907+1.55*(P63/N63)-4.449*(P63/N63)^2)))</f>
        <v>1.048</v>
      </c>
      <c r="U63" s="39">
        <v>800</v>
      </c>
      <c r="V63" s="40">
        <f>IF(H63="x",75+U63,IF(M63&lt;6.66,150+U63,-1.7384*M63^2+92.38*M63-388+U63))</f>
        <v>996.4118569599999</v>
      </c>
      <c r="W63" s="5"/>
      <c r="X63" s="5"/>
      <c r="Y63" s="5"/>
      <c r="Z63" s="5"/>
      <c r="AA63" s="5"/>
      <c r="AB63" s="5"/>
      <c r="AC63" s="5"/>
      <c r="AD63" s="33">
        <v>21.28</v>
      </c>
      <c r="AE63" s="5">
        <f>IF(AD63=0,(W63+4*X63+2*Y63+4*Z63+AA63)*AC63/12+W63*AB63/1.5,AD63)</f>
        <v>21.28</v>
      </c>
      <c r="AF63" s="11"/>
      <c r="AG63" s="11"/>
      <c r="AH63" s="5">
        <f>IF(AC63=0,AE63+AF63*AG63/2,AE63+AC63*AG63/2)</f>
        <v>21.28</v>
      </c>
      <c r="AI63" s="3"/>
      <c r="AJ63" s="3"/>
      <c r="AK63" s="33">
        <v>13.98</v>
      </c>
      <c r="AL63" s="5">
        <f>IF(AK63=0,AI63*AJ63/2,AK63)</f>
        <v>13.98</v>
      </c>
      <c r="AM63" s="3"/>
      <c r="AN63" s="5"/>
      <c r="AO63" s="5"/>
      <c r="AP63" s="5">
        <f>AL63+AI63*(AN63-AO63)/2</f>
        <v>13.98</v>
      </c>
      <c r="AQ63" s="5">
        <f>0.1*(AE63+AL63)</f>
        <v>3.526000000000001</v>
      </c>
      <c r="AR63" s="11">
        <v>10.1</v>
      </c>
      <c r="AS63" s="11"/>
      <c r="AT63" s="11"/>
      <c r="AU63" s="11"/>
      <c r="AV63" s="33"/>
      <c r="AW63" s="5">
        <f>IF(AV63=0,AS63/6*(AT63+AU63*4),AV63)</f>
        <v>0</v>
      </c>
      <c r="AX63" s="11"/>
      <c r="AY63" s="5">
        <f>IF(AX63&lt;0.149*M63+0.329,1,AX63/(0.149*M63+0.329))</f>
        <v>1</v>
      </c>
      <c r="AZ63" s="5">
        <f>IF(AW63*AY63&gt;AL63,(AW63*AY63-AL63)/4,0)</f>
        <v>0</v>
      </c>
      <c r="BA63" s="12">
        <f>0.401+0.1831*(2*AR63^2/(AH63+AP63+AZ63))-0.02016*(2*AR63^2/(AH63+AP63+AZ63))^2+0.0007472*(2*AR63^2/(AH63+AP63+AZ63))^3</f>
        <v>0.9302427363620782</v>
      </c>
      <c r="BB63" s="3"/>
      <c r="BC63" s="3"/>
      <c r="BD63" s="3"/>
      <c r="BE63" s="3"/>
      <c r="BF63" s="33">
        <v>39.49</v>
      </c>
      <c r="BG63" s="5">
        <f>IF(BF63=0,(BC63+BD63)*(BB63/12+BE63/3),BF63)</f>
        <v>39.49</v>
      </c>
      <c r="BH63" s="5">
        <f>IF(BG63*AY63&gt;AL63+AZ63,BG63*AY63-AL63-AZ63,0)</f>
        <v>25.51</v>
      </c>
      <c r="BI63" s="5">
        <f>IF(M63/1.6&lt;8,ROUND(M63/1.6,0),8)</f>
        <v>5</v>
      </c>
      <c r="BJ63" s="5">
        <f>(AH63+AP63+AZ63)*BA63+0.1*BH63</f>
        <v>35.35135888412688</v>
      </c>
      <c r="BK63" s="11">
        <v>1.4</v>
      </c>
      <c r="BL63" s="5">
        <f>M63*0.2</f>
        <v>1.468</v>
      </c>
      <c r="BM63" s="5">
        <f>ROUNDDOWN(M63/2.13,0)</f>
        <v>3</v>
      </c>
      <c r="BN63" s="12">
        <f>M63/4.26</f>
        <v>1.723004694835681</v>
      </c>
      <c r="BO63" s="5">
        <f>IF(M63&lt;8,1.22,IF(M63&lt;15.2,0.108333*M63+0.353,2))</f>
        <v>1.22</v>
      </c>
      <c r="BP63" s="12">
        <f>IF(BK63&lt;BO63,1+0.3*(BO63-BK63)/M63,1)</f>
        <v>1</v>
      </c>
      <c r="BQ63" s="32"/>
      <c r="BR63" s="39">
        <v>0</v>
      </c>
      <c r="BS63" t="s" s="24">
        <v>154</v>
      </c>
      <c r="BT63" s="36"/>
      <c r="BU63" s="36"/>
      <c r="BV63" s="5">
        <f>IF(BQ63&lt;(M63/0.3048)^0.5,1,IF(BU63="x",1-BR63*0.02,IF(BT63="x",1-BR63*0.01,1)))</f>
        <v>1</v>
      </c>
      <c r="BW63" s="12">
        <f>IF(K63="x",MIN(1.315,1.28+U63*N63/BJ63/AR63/1100),IF(L63="x",1.28,MAX(1.245,1.28-U63*N63/BJ63/AR63/1100)))</f>
        <v>1.29495084969768</v>
      </c>
      <c r="BX63" s="41">
        <f>BW63*T63*BV63*BP63*N63^0.3*BJ63^0.4/V63^0.325</f>
        <v>1.089414602653725</v>
      </c>
      <c r="BY63" s="29"/>
      <c r="BZ63" s="29"/>
      <c r="CA63" t="s" s="19">
        <v>162</v>
      </c>
      <c r="CB63" s="42">
        <v>1997</v>
      </c>
      <c r="CC63" t="s" s="19">
        <v>180</v>
      </c>
      <c r="CD63" t="s" s="19">
        <v>539</v>
      </c>
      <c r="CE63" s="3"/>
      <c r="CF63" s="3"/>
      <c r="CG63" t="s" s="30">
        <f>A63</f>
        <v>540</v>
      </c>
    </row>
    <row r="64" ht="12.75" customHeight="1">
      <c r="A64" t="s" s="25">
        <v>541</v>
      </c>
      <c r="B64" t="s" s="19">
        <v>542</v>
      </c>
      <c r="C64" t="s" s="19">
        <v>344</v>
      </c>
      <c r="D64" t="s" s="19">
        <v>345</v>
      </c>
      <c r="E64" t="s" s="19">
        <v>543</v>
      </c>
      <c r="F64" s="3"/>
      <c r="G64" s="3"/>
      <c r="H64" s="32"/>
      <c r="I64" s="32"/>
      <c r="J64" s="36"/>
      <c r="K64" t="s" s="24">
        <v>154</v>
      </c>
      <c r="L64" s="36"/>
      <c r="M64" s="11">
        <v>8.25</v>
      </c>
      <c r="N64" s="5">
        <v>8.25</v>
      </c>
      <c r="O64" s="11"/>
      <c r="P64" s="11"/>
      <c r="Q64" s="37"/>
      <c r="R64" t="s" s="24">
        <v>161</v>
      </c>
      <c r="S64" s="36"/>
      <c r="T64" s="38">
        <f>IF(S64&gt;0,1.048,IF(R64&gt;0,1.048,IF(Q64&gt;0,1.036,0.907+1.55*(P64/N64)-4.449*(P64/N64)^2)))</f>
        <v>1.048</v>
      </c>
      <c r="U64" s="39">
        <v>1200</v>
      </c>
      <c r="V64" s="40">
        <f>IF(H64="x",75+U64,IF(M64&lt;6.66,150+U64,-1.7384*M64^2+92.38*M64-388+U64))</f>
        <v>1455.81515</v>
      </c>
      <c r="W64" s="5"/>
      <c r="X64" s="5"/>
      <c r="Y64" s="5"/>
      <c r="Z64" s="5"/>
      <c r="AA64" s="5"/>
      <c r="AB64" s="5"/>
      <c r="AC64" s="5"/>
      <c r="AD64" s="33">
        <v>34</v>
      </c>
      <c r="AE64" s="5">
        <f>IF(AD64=0,(W64+4*X64+2*Y64+4*Z64+AA64)*AC64/12+W64*AB64/1.5,AD64)</f>
        <v>34</v>
      </c>
      <c r="AF64" s="11">
        <v>13</v>
      </c>
      <c r="AG64" s="11"/>
      <c r="AH64" s="5">
        <f>IF(AC64=0,AE64+AF64*AG64/2,AE64+AC64*AG64/2)</f>
        <v>34</v>
      </c>
      <c r="AI64" s="5">
        <v>9.949999999999999</v>
      </c>
      <c r="AJ64" s="3"/>
      <c r="AK64" s="33">
        <v>20</v>
      </c>
      <c r="AL64" s="5">
        <f>IF(AK64=0,AI64*AJ64/2,AK64)</f>
        <v>20</v>
      </c>
      <c r="AM64" s="3"/>
      <c r="AN64" s="5"/>
      <c r="AO64" s="5">
        <v>0.1</v>
      </c>
      <c r="AP64" s="5">
        <f>AL64+AI64*(AN64-AO64)/2</f>
        <v>19.5025</v>
      </c>
      <c r="AQ64" s="5">
        <f>0.1*(AE64+AL64)</f>
        <v>5.4</v>
      </c>
      <c r="AR64" s="11">
        <v>13</v>
      </c>
      <c r="AS64" s="11"/>
      <c r="AT64" s="11"/>
      <c r="AU64" s="11"/>
      <c r="AV64" s="33"/>
      <c r="AW64" s="5">
        <f>IF(AV64=0,AS64/6*(AT64+AU64*4),AV64)</f>
        <v>0</v>
      </c>
      <c r="AX64" s="11">
        <v>1</v>
      </c>
      <c r="AY64" s="5">
        <f>IF(AX64&lt;0.149*M64+0.329,1,AX64/(0.149*M64+0.329))</f>
        <v>1</v>
      </c>
      <c r="AZ64" s="5">
        <f>IF(AW64*AY64&gt;AL64,(AW64*AY64-AL64)/4,0)</f>
        <v>0</v>
      </c>
      <c r="BA64" s="12">
        <f>0.401+0.1831*(2*AR64^2/(AH64+AP64+AZ64))-0.02016*(2*AR64^2/(AH64+AP64+AZ64))^2+0.0007472*(2*AR64^2/(AH64+AP64+AZ64))^3</f>
        <v>0.9415281210358479</v>
      </c>
      <c r="BB64" s="3"/>
      <c r="BC64" s="3"/>
      <c r="BD64" s="3"/>
      <c r="BE64" s="3"/>
      <c r="BF64" s="33">
        <v>70</v>
      </c>
      <c r="BG64" s="5">
        <f>IF(BF64=0,(BC64+BD64)*(BB64/12+BE64/3),BF64)</f>
        <v>70</v>
      </c>
      <c r="BH64" s="5">
        <f>IF(BG64*AY64&gt;AL64+AZ64,BG64*AY64-AL64-AZ64,0)</f>
        <v>50</v>
      </c>
      <c r="BI64" s="5">
        <f>IF(M64/1.6&lt;8,ROUND(M64/1.6,0),8)</f>
        <v>5</v>
      </c>
      <c r="BJ64" s="5">
        <f>(AH64+AP64+AZ64)*BA64+0.1*BH64</f>
        <v>55.37410829572045</v>
      </c>
      <c r="BK64" s="11">
        <v>1.7</v>
      </c>
      <c r="BL64" s="5">
        <f>M64*0.2</f>
        <v>1.65</v>
      </c>
      <c r="BM64" s="5">
        <f>ROUNDDOWN(M64/2.13,0)</f>
        <v>3</v>
      </c>
      <c r="BN64" s="12">
        <f>M64/4.26</f>
        <v>1.936619718309859</v>
      </c>
      <c r="BO64" s="5">
        <f>IF(M64&lt;8,1.22,IF(M64&lt;15.2,0.108333*M64+0.353,2))</f>
        <v>1.24674725</v>
      </c>
      <c r="BP64" s="12">
        <f>IF(BK64&lt;BO64,1+0.3*(BO64-BK64)/M64,1)</f>
        <v>1</v>
      </c>
      <c r="BQ64" s="32"/>
      <c r="BR64" s="39">
        <v>0</v>
      </c>
      <c r="BS64" t="s" s="24">
        <v>154</v>
      </c>
      <c r="BT64" s="36"/>
      <c r="BU64" s="36"/>
      <c r="BV64" s="5">
        <f>IF(BQ64&lt;(M64/0.3048)^0.5,1,IF(BU64="x",1-BR64*0.02,IF(BT64="x",1-BR64*0.01,1)))</f>
        <v>1</v>
      </c>
      <c r="BW64" s="12">
        <f>IF(K64="x",MIN(1.315,1.28+U64*N64/BJ64/AR64/1100),IF(L64="x",1.28,MAX(1.245,1.28-U64*N64/BJ64/AR64/1100)))</f>
        <v>1.292502371841556</v>
      </c>
      <c r="BX64" s="41">
        <f>BW64*T64*BV64*BP64*N64^0.3*BJ64^0.4/V64^0.325</f>
        <v>1.191357183990044</v>
      </c>
      <c r="BY64" s="29"/>
      <c r="BZ64" s="29"/>
      <c r="CA64" t="s" s="19">
        <v>162</v>
      </c>
      <c r="CB64" s="46">
        <v>38272</v>
      </c>
      <c r="CC64" t="s" s="19">
        <v>180</v>
      </c>
      <c r="CD64" s="3"/>
      <c r="CE64" s="3"/>
      <c r="CF64" s="3"/>
      <c r="CG64" t="s" s="30">
        <f>A64</f>
        <v>544</v>
      </c>
    </row>
    <row r="65" ht="12.75" customHeight="1">
      <c r="A65" t="s" s="25">
        <v>545</v>
      </c>
      <c r="B65" t="s" s="19">
        <v>546</v>
      </c>
      <c r="C65" t="s" s="19">
        <v>547</v>
      </c>
      <c r="D65" t="s" s="19">
        <v>345</v>
      </c>
      <c r="E65" t="s" s="19">
        <v>548</v>
      </c>
      <c r="F65" t="s" s="19">
        <v>549</v>
      </c>
      <c r="G65" t="s" s="19">
        <v>550</v>
      </c>
      <c r="H65" s="32"/>
      <c r="I65" s="32"/>
      <c r="J65" s="36"/>
      <c r="K65" t="s" s="24">
        <v>154</v>
      </c>
      <c r="L65" s="36"/>
      <c r="M65" s="11">
        <v>11.05</v>
      </c>
      <c r="N65" s="5">
        <v>10.2</v>
      </c>
      <c r="O65" s="11">
        <v>7.8</v>
      </c>
      <c r="P65" s="11"/>
      <c r="Q65" s="37"/>
      <c r="R65" t="s" s="24">
        <v>551</v>
      </c>
      <c r="S65" s="36"/>
      <c r="T65" s="38">
        <f>IF(S65&gt;0,1.048,IF(R65&gt;0,1.048,IF(Q65&gt;0,1.036,0.907+1.55*(P65/N65)-4.449*(P65/N65)^2)))</f>
        <v>1.048</v>
      </c>
      <c r="U65" s="39">
        <v>3500</v>
      </c>
      <c r="V65" s="40">
        <f>IF(H65="x",75+U65,IF(M65&lt;6.66,150+U65,-1.7384*M65^2+92.38*M65-388+U65))</f>
        <v>3920.536014</v>
      </c>
      <c r="W65" s="5"/>
      <c r="X65" s="5"/>
      <c r="Y65" s="5"/>
      <c r="Z65" s="5"/>
      <c r="AA65" s="5"/>
      <c r="AB65" s="5"/>
      <c r="AC65" s="5">
        <v>13.37</v>
      </c>
      <c r="AD65" s="33">
        <v>49.9</v>
      </c>
      <c r="AE65" s="5">
        <f>IF(AD65=0,(W65+4*X65+2*Y65+4*Z65+AA65)*AC65/12+W65*AB65/1.5,AD65)</f>
        <v>49.9</v>
      </c>
      <c r="AF65" s="11">
        <v>14.47</v>
      </c>
      <c r="AG65" s="11">
        <v>0.72</v>
      </c>
      <c r="AH65" s="5">
        <f>IF(AC65=0,AE65+AF65*AG65/2,AE65+AC65*AG65/2)</f>
        <v>54.7132</v>
      </c>
      <c r="AI65" s="5">
        <v>12.63</v>
      </c>
      <c r="AJ65" s="3"/>
      <c r="AK65" s="33">
        <v>33.9</v>
      </c>
      <c r="AL65" s="5">
        <f>IF(AK65=0,AI65*AJ65/2,AK65)</f>
        <v>33.9</v>
      </c>
      <c r="AM65" s="3"/>
      <c r="AN65" s="5"/>
      <c r="AO65" s="5">
        <v>0.11</v>
      </c>
      <c r="AP65" s="5">
        <f>AL65+AI65*(AN65-AO65)/2</f>
        <v>33.20535</v>
      </c>
      <c r="AQ65" s="5">
        <f>0.1*(AE65+AL65)</f>
        <v>8.380000000000001</v>
      </c>
      <c r="AR65" s="11">
        <v>13.7</v>
      </c>
      <c r="AS65" s="11"/>
      <c r="AT65" s="11"/>
      <c r="AU65" s="11"/>
      <c r="AV65" s="33">
        <v>51</v>
      </c>
      <c r="AW65" s="5">
        <f>IF(AV65=0,AS65/6*(AT65+AU65*4),AV65)</f>
        <v>51</v>
      </c>
      <c r="AX65" s="11">
        <v>2.3</v>
      </c>
      <c r="AY65" s="5">
        <f>IF(AX65&lt;0.149*M65+0.329,1,AX65/(0.149*M65+0.329))</f>
        <v>1.164291680376623</v>
      </c>
      <c r="AZ65" s="5">
        <f>IF(AW65*AY65&gt;AL65,(AW65*AY65-AL65)/4,0)</f>
        <v>6.369718924801944</v>
      </c>
      <c r="BA65" s="12">
        <f>0.401+0.1831*(2*AR65^2/(AH65+AP65+AZ65))-0.02016*(2*AR65^2/(AH65+AP65+AZ65))^2+0.0007472*(2*AR65^2/(AH65+AP65+AZ65))^3</f>
        <v>0.8575720683185587</v>
      </c>
      <c r="BB65" s="3"/>
      <c r="BC65" s="3"/>
      <c r="BD65" s="3"/>
      <c r="BE65" s="3"/>
      <c r="BF65" s="33">
        <v>134</v>
      </c>
      <c r="BG65" s="5">
        <f>IF(BF65=0,(BC65+BD65)*(BB65/12+BE65/3),BF65)</f>
        <v>134</v>
      </c>
      <c r="BH65" s="5">
        <f>IF(BG65*AY65&gt;AL65+AZ65,BG65*AY65-AL65-AZ65,0)</f>
        <v>115.7453662456655</v>
      </c>
      <c r="BI65" s="5">
        <f>IF(M65/1.6&lt;8,ROUND(M65/1.6,0),8)</f>
        <v>7</v>
      </c>
      <c r="BJ65" s="5">
        <f>(AH65+AP65+AZ65)*BA65+0.1*BH65</f>
        <v>92.43352242458543</v>
      </c>
      <c r="BK65" s="11">
        <v>2</v>
      </c>
      <c r="BL65" s="5">
        <f>M65*0.2</f>
        <v>2.21</v>
      </c>
      <c r="BM65" s="5">
        <f>ROUNDDOWN(M65/2.13,0)</f>
        <v>5</v>
      </c>
      <c r="BN65" s="12">
        <f>M65/4.26</f>
        <v>2.593896713615024</v>
      </c>
      <c r="BO65" s="5">
        <f>IF(M65&lt;8,1.22,IF(M65&lt;15.2,0.108333*M65+0.353,2))</f>
        <v>1.55007965</v>
      </c>
      <c r="BP65" s="12">
        <f>IF(BK65&lt;BO65,1+0.3*(BO65-BK65)/M65,1)</f>
        <v>1</v>
      </c>
      <c r="BQ65" s="39">
        <v>6</v>
      </c>
      <c r="BR65" s="39">
        <v>0</v>
      </c>
      <c r="BS65" t="s" s="24">
        <v>154</v>
      </c>
      <c r="BT65" s="36"/>
      <c r="BU65" s="36"/>
      <c r="BV65" s="5">
        <f>IF(BQ65&lt;(M65/0.3048)^0.5,1,IF(BU65="x",1-BR65*0.02,IF(BT65="x",1-BR65*0.01,1)))</f>
        <v>1</v>
      </c>
      <c r="BW65" s="12">
        <f>IF(K65="x",MIN(1.315,1.28+U65*N65/BJ65/AR65/1100),IF(L65="x",1.28,MAX(1.245,1.28-U65*N65/BJ65/AR65/1100)))</f>
        <v>1.305628634088052</v>
      </c>
      <c r="BX65" s="41">
        <f>BW65*T65*BV65*BP65*N65^0.3*BJ65^0.4/V65^0.325</f>
        <v>1.140920887683923</v>
      </c>
      <c r="BY65" s="29"/>
      <c r="BZ65" s="29"/>
      <c r="CA65" t="s" s="19">
        <v>188</v>
      </c>
      <c r="CB65" s="46">
        <v>39920</v>
      </c>
      <c r="CC65" t="s" s="19">
        <v>552</v>
      </c>
      <c r="CD65" s="3"/>
      <c r="CE65" s="3"/>
      <c r="CF65" s="3"/>
      <c r="CG65" t="s" s="30">
        <f>A65</f>
        <v>553</v>
      </c>
    </row>
    <row r="66" ht="12.75" customHeight="1">
      <c r="A66" t="s" s="25">
        <v>554</v>
      </c>
      <c r="B66" t="s" s="19">
        <v>338</v>
      </c>
      <c r="C66" t="s" s="19">
        <v>555</v>
      </c>
      <c r="D66" t="s" s="19">
        <v>556</v>
      </c>
      <c r="E66" s="3"/>
      <c r="F66" s="3"/>
      <c r="G66" s="3"/>
      <c r="H66" s="32"/>
      <c r="I66" s="32"/>
      <c r="J66" t="s" s="24">
        <v>154</v>
      </c>
      <c r="K66" s="36"/>
      <c r="L66" s="36"/>
      <c r="M66" s="11">
        <v>8.529999999999999</v>
      </c>
      <c r="N66" s="5">
        <v>8.529999999999999</v>
      </c>
      <c r="O66" s="11"/>
      <c r="P66" s="11"/>
      <c r="Q66" s="37"/>
      <c r="R66" t="s" s="24">
        <v>161</v>
      </c>
      <c r="S66" s="36"/>
      <c r="T66" s="38">
        <f>IF(S66&gt;0,1.048,IF(R66&gt;0,1.048,IF(Q66&gt;0,1.036,0.907+1.55*(P66/N66)-4.449*(P66/N66)^2)))</f>
        <v>1.048</v>
      </c>
      <c r="U66" s="39">
        <v>720</v>
      </c>
      <c r="V66" s="40">
        <f>IF(H66="x",75+U66,IF(M66&lt;6.66,150+U66,-1.7384*M66^2+92.38*M66-388+U66))</f>
        <v>993.5138514399999</v>
      </c>
      <c r="W66" s="5"/>
      <c r="X66" s="5"/>
      <c r="Y66" s="5"/>
      <c r="Z66" s="5"/>
      <c r="AA66" s="5"/>
      <c r="AB66" s="5"/>
      <c r="AC66" s="5">
        <v>14</v>
      </c>
      <c r="AD66" s="33">
        <v>47</v>
      </c>
      <c r="AE66" s="5">
        <f>IF(AD66=0,(W66+4*X66+2*Y66+4*Z66+AA66)*AC66/12+W66*AB66/1.5,AD66)</f>
        <v>47</v>
      </c>
      <c r="AF66" s="11">
        <v>14.7</v>
      </c>
      <c r="AG66" s="11"/>
      <c r="AH66" s="5">
        <f>IF(AC66=0,AE66+AF66*AG66/2,AE66+AC66*AG66/2)</f>
        <v>47</v>
      </c>
      <c r="AI66" s="3"/>
      <c r="AJ66" s="3"/>
      <c r="AK66" s="33">
        <v>15</v>
      </c>
      <c r="AL66" s="5">
        <f>IF(AK66=0,AI66*AJ66/2,AK66)</f>
        <v>15</v>
      </c>
      <c r="AM66" s="3"/>
      <c r="AN66" s="5"/>
      <c r="AO66" s="5"/>
      <c r="AP66" s="5">
        <f>AL66+AI66*(AN66-AO66)/2</f>
        <v>15</v>
      </c>
      <c r="AQ66" s="5">
        <f>0.1*(AE66+AL66)</f>
        <v>6.2</v>
      </c>
      <c r="AR66" s="11">
        <v>14.8</v>
      </c>
      <c r="AS66" s="11"/>
      <c r="AT66" s="11"/>
      <c r="AU66" s="11"/>
      <c r="AV66" s="33">
        <v>65</v>
      </c>
      <c r="AW66" s="5">
        <f>IF(AV66=0,AS66/6*(AT66+AU66*4),AV66)</f>
        <v>65</v>
      </c>
      <c r="AX66" s="11">
        <v>1.6</v>
      </c>
      <c r="AY66" s="5">
        <f>IF(AX66&lt;0.149*M66+0.329,1,AX66/(0.149*M66+0.329))</f>
        <v>1.000018750351569</v>
      </c>
      <c r="AZ66" s="5">
        <f>IF(AW66*AY66&gt;AL66,(AW66*AY66-AL66)/4,0)</f>
        <v>12.500304693213</v>
      </c>
      <c r="BA66" s="12">
        <f>0.401+0.1831*(2*AR66^2/(AH66+AP66+AZ66))-0.02016*(2*AR66^2/(AH66+AP66+AZ66))^2+0.0007472*(2*AR66^2/(AH66+AP66+AZ66))^3</f>
        <v>0.9325177152083067</v>
      </c>
      <c r="BB66" s="3"/>
      <c r="BC66" s="3"/>
      <c r="BD66" s="3"/>
      <c r="BE66" s="3"/>
      <c r="BF66" s="33"/>
      <c r="BG66" s="5">
        <f>IF(BF66=0,(BC66+BD66)*(BB66/12+BE66/3),BF66)</f>
        <v>0</v>
      </c>
      <c r="BH66" s="5">
        <f>IF(BG66*AY66&gt;AL66+AZ66,BG66*AY66-AL66-AZ66,0)</f>
        <v>0</v>
      </c>
      <c r="BI66" s="5">
        <f>IF(M66/1.6&lt;8,ROUND(M66/1.6,0),8)</f>
        <v>5</v>
      </c>
      <c r="BJ66" s="5">
        <f>(AH66+AP66+AZ66)*BA66+0.1*BH66</f>
        <v>69.47285391483767</v>
      </c>
      <c r="BK66" s="11">
        <v>1.22</v>
      </c>
      <c r="BL66" s="5">
        <f>M66*0.2</f>
        <v>1.706</v>
      </c>
      <c r="BM66" s="5">
        <f>ROUNDDOWN(M66/2.13,0)</f>
        <v>4</v>
      </c>
      <c r="BN66" s="12">
        <f>M66/4.26</f>
        <v>2.002347417840376</v>
      </c>
      <c r="BO66" s="5">
        <f>IF(M66&lt;8,1.22,IF(M66&lt;15.2,0.108333*M66+0.353,2))</f>
        <v>1.27708049</v>
      </c>
      <c r="BP66" s="12">
        <f>IF(BK66&lt;BO66,1+0.3*(BO66-BK66)/M66,1)</f>
        <v>1.002007520164127</v>
      </c>
      <c r="BQ66" s="32"/>
      <c r="BR66" s="39">
        <v>0</v>
      </c>
      <c r="BS66" t="s" s="24">
        <v>154</v>
      </c>
      <c r="BT66" s="36"/>
      <c r="BU66" s="36"/>
      <c r="BV66" s="5">
        <f>IF(BQ66&lt;(M66/0.3048)^0.5,1,IF(BU66="x",1-BR66*0.02,IF(BT66="x",1-BR66*0.01,1)))</f>
        <v>1</v>
      </c>
      <c r="BW66" s="12">
        <f>IF(K66="x",MIN(1.315,1.28+U66*N66/BJ66/AR66/1100),IF(L66="x",1.28,MAX(1.245,1.28-U66*N66/BJ66/AR66/1100)))</f>
        <v>1.274569847991122</v>
      </c>
      <c r="BX66" s="41">
        <f>BW66*T66*BV66*BP66*N66^0.3*BJ66^0.4/V66^0.325</f>
        <v>1.474093880124109</v>
      </c>
      <c r="BY66" s="29"/>
      <c r="BZ66" s="29"/>
      <c r="CA66" t="s" s="19">
        <v>557</v>
      </c>
      <c r="CB66" t="s" s="19">
        <v>558</v>
      </c>
      <c r="CC66" t="s" s="19">
        <v>180</v>
      </c>
      <c r="CD66" t="s" s="19">
        <v>340</v>
      </c>
      <c r="CE66" s="3"/>
      <c r="CF66" s="3"/>
      <c r="CG66" t="s" s="30">
        <f>A66</f>
        <v>559</v>
      </c>
    </row>
    <row r="67" ht="12.75" customHeight="1">
      <c r="A67" t="s" s="25">
        <v>560</v>
      </c>
      <c r="B67" t="s" s="19">
        <v>561</v>
      </c>
      <c r="C67" t="s" s="19">
        <v>562</v>
      </c>
      <c r="D67" t="s" s="19">
        <v>562</v>
      </c>
      <c r="E67" t="s" s="19">
        <v>563</v>
      </c>
      <c r="F67" s="3"/>
      <c r="G67" s="3"/>
      <c r="H67" s="32"/>
      <c r="I67" s="32"/>
      <c r="J67" t="s" s="24">
        <v>154</v>
      </c>
      <c r="K67" s="36"/>
      <c r="L67" s="36"/>
      <c r="M67" s="11">
        <v>14.02</v>
      </c>
      <c r="N67" s="5">
        <v>13.48</v>
      </c>
      <c r="O67" s="11">
        <v>6.35</v>
      </c>
      <c r="P67" s="11">
        <v>1.14</v>
      </c>
      <c r="Q67" s="37"/>
      <c r="R67" s="36"/>
      <c r="S67" s="36"/>
      <c r="T67" s="38">
        <f>IF(S67&gt;0,1.048,IF(R67&gt;0,1.048,IF(Q67&gt;0,1.036,0.907+1.55*(P67/N67)-4.449*(P67/N67)^2)))</f>
        <v>1.006263661298418</v>
      </c>
      <c r="U67" s="39">
        <v>10500</v>
      </c>
      <c r="V67" s="40">
        <f>IF(H67="x",75+U67,IF(M67&lt;6.66,150+U67,-1.7384*M67^2+92.38*M67-388+U67))</f>
        <v>11065.46700064</v>
      </c>
      <c r="W67" s="5"/>
      <c r="X67" s="5"/>
      <c r="Y67" s="5"/>
      <c r="Z67" s="5"/>
      <c r="AA67" s="5"/>
      <c r="AB67" s="5"/>
      <c r="AC67" s="5">
        <v>15.32</v>
      </c>
      <c r="AD67" s="33">
        <v>37.88</v>
      </c>
      <c r="AE67" s="5">
        <f>IF(AD67=0,(W67+4*X67+2*Y67+4*Z67+AA67)*AC67/12+W67*AB67/1.5,AD67)</f>
        <v>37.88</v>
      </c>
      <c r="AF67" s="11"/>
      <c r="AG67" s="11"/>
      <c r="AH67" s="5">
        <f>IF(AC67=0,AE67+AF67*AG67/2,AE67+AC67*AG67/2)</f>
        <v>37.88</v>
      </c>
      <c r="AI67" s="5">
        <v>16.76</v>
      </c>
      <c r="AJ67" s="3"/>
      <c r="AK67" s="33">
        <v>56.63</v>
      </c>
      <c r="AL67" s="5">
        <f>IF(AK67=0,AI67*AJ67/2,AK67)</f>
        <v>56.63</v>
      </c>
      <c r="AM67" s="3"/>
      <c r="AN67" s="5"/>
      <c r="AO67" s="5"/>
      <c r="AP67" s="5">
        <f>AL67+AI67*(AN67-AO67)/2</f>
        <v>56.63</v>
      </c>
      <c r="AQ67" s="5">
        <f>0.1*(AE67+AL67)</f>
        <v>9.451000000000001</v>
      </c>
      <c r="AR67" s="11">
        <v>17.07</v>
      </c>
      <c r="AS67" s="11"/>
      <c r="AT67" s="11"/>
      <c r="AU67" s="11"/>
      <c r="AV67" s="33"/>
      <c r="AW67" s="5">
        <f>IF(AV67=0,AS67/6*(AT67+AU67*4),AV67)</f>
        <v>0</v>
      </c>
      <c r="AX67" s="11">
        <v>0</v>
      </c>
      <c r="AY67" s="5">
        <f>IF(AX67&lt;0.149*M67+0.329,1,AX67/(0.149*M67+0.329))</f>
        <v>1</v>
      </c>
      <c r="AZ67" s="5">
        <f>IF(AW67*AY67&gt;AL67,(AW67*AY67-AL67)/4,0)</f>
        <v>0</v>
      </c>
      <c r="BA67" s="12">
        <f>0.401+0.1831*(2*AR67^2/(AH67+AP67+AZ67))-0.02016*(2*AR67^2/(AH67+AP67+AZ67))^2+0.0007472*(2*AR67^2/(AH67+AP67+AZ67))^3</f>
        <v>0.9386897964871868</v>
      </c>
      <c r="BB67" s="3"/>
      <c r="BC67" s="3"/>
      <c r="BD67" s="3"/>
      <c r="BE67" s="3"/>
      <c r="BF67" s="33">
        <v>141.1</v>
      </c>
      <c r="BG67" s="5">
        <f>IF(BF67=0,(BC67+BD67)*(BB67/12+BE67/3),BF67)</f>
        <v>141.1</v>
      </c>
      <c r="BH67" s="5">
        <f>IF(BG67*AY67&gt;AL67+AZ67,BG67*AY67-AL67-AZ67,0)</f>
        <v>84.47</v>
      </c>
      <c r="BI67" s="42">
        <f>IF(M67/1.6&lt;8,ROUND(M67/1.6,0),8)</f>
        <v>8</v>
      </c>
      <c r="BJ67" s="5">
        <f>(AH67+AP67+AZ67)*BA67+0.1*BH67</f>
        <v>97.16257266600402</v>
      </c>
      <c r="BK67" s="11">
        <v>2</v>
      </c>
      <c r="BL67" s="5">
        <f>M67*0.2</f>
        <v>2.804</v>
      </c>
      <c r="BM67" s="5">
        <f>ROUNDDOWN(M67/2.13,0)</f>
        <v>6</v>
      </c>
      <c r="BN67" s="12">
        <f>M67/4.26</f>
        <v>3.291079812206573</v>
      </c>
      <c r="BO67" s="5">
        <f>IF(M67&lt;8,1.22,IF(M67&lt;15.2,0.108333*M67+0.353,2))</f>
        <v>1.87182866</v>
      </c>
      <c r="BP67" s="12">
        <f>IF(BK67&lt;BO67,1+0.3*(BO67-BK67)/M67,1)</f>
        <v>1</v>
      </c>
      <c r="BQ67" s="39">
        <v>10</v>
      </c>
      <c r="BR67" s="39">
        <v>2</v>
      </c>
      <c r="BS67" s="36"/>
      <c r="BT67" t="s" s="24">
        <v>154</v>
      </c>
      <c r="BU67" s="36"/>
      <c r="BV67" s="5">
        <f>IF(BQ67&lt;(M67/0.3048)^0.5,1,IF(BU67="x",1-BR67*0.02,IF(BT67="x",1-BR67*0.01,1)))</f>
        <v>0.98</v>
      </c>
      <c r="BW67" s="12">
        <f>IF(K67="x",MIN(1.315,1.28+U67*N67/BJ67/AR67/1100),IF(L67="x",1.28,MAX(1.245,1.28-U67*N67/BJ67/AR67/1100)))</f>
        <v>1.245</v>
      </c>
      <c r="BX67" s="41">
        <f>BW67*T67*BV67*BP67*N67^0.3*BJ67^0.4/V67^0.325</f>
        <v>0.8104451331700792</v>
      </c>
      <c r="BY67" s="29"/>
      <c r="BZ67" s="44">
        <v>1062</v>
      </c>
      <c r="CA67" t="s" s="19">
        <v>213</v>
      </c>
      <c r="CB67" t="s" s="19">
        <v>564</v>
      </c>
      <c r="CC67" t="s" s="19">
        <v>164</v>
      </c>
      <c r="CD67" s="3"/>
      <c r="CE67" s="3"/>
      <c r="CF67" s="3"/>
      <c r="CG67" t="s" s="30">
        <f>A67</f>
        <v>565</v>
      </c>
    </row>
    <row r="68" ht="12.75" customHeight="1">
      <c r="A68" t="s" s="25">
        <v>566</v>
      </c>
      <c r="B68" t="s" s="19">
        <v>567</v>
      </c>
      <c r="C68" t="s" s="19">
        <v>568</v>
      </c>
      <c r="D68" t="s" s="19">
        <v>151</v>
      </c>
      <c r="E68" t="s" s="19">
        <v>569</v>
      </c>
      <c r="F68" t="s" s="19">
        <v>570</v>
      </c>
      <c r="G68" s="3"/>
      <c r="H68" s="32"/>
      <c r="I68" s="32"/>
      <c r="J68" s="36"/>
      <c r="K68" t="s" s="24">
        <v>154</v>
      </c>
      <c r="L68" s="36"/>
      <c r="M68" s="11">
        <v>5.95</v>
      </c>
      <c r="N68" s="5">
        <v>5.9</v>
      </c>
      <c r="O68" s="11">
        <v>4.25</v>
      </c>
      <c r="P68" s="11"/>
      <c r="Q68" t="s" s="24">
        <v>571</v>
      </c>
      <c r="R68" s="36"/>
      <c r="S68" s="36"/>
      <c r="T68" s="38">
        <f>IF(S68&gt;0,1.048,IF(R68&gt;0,1.048,IF(Q68&gt;0,1.036,0.907+1.55*(P68/N68)-4.449*(P68/N68)^2)))</f>
        <v>1.036</v>
      </c>
      <c r="U68" s="39">
        <v>485</v>
      </c>
      <c r="V68" s="40">
        <f>IF(H68="x",75+U68,IF(M68&lt;6.66,150+U68,-1.7384*M68^2+92.38*M68-388+U68))</f>
        <v>635</v>
      </c>
      <c r="W68" s="5"/>
      <c r="X68" s="5"/>
      <c r="Y68" s="5"/>
      <c r="Z68" s="5"/>
      <c r="AA68" s="5"/>
      <c r="AB68" s="5"/>
      <c r="AC68" s="5">
        <v>7.28</v>
      </c>
      <c r="AD68" s="33">
        <v>16.135</v>
      </c>
      <c r="AE68" s="5">
        <f>IF(AD68=0,(W68+4*X68+2*Y68+4*Z68+AA68)*AC68/12+W68*AB68/1.5,AD68)</f>
        <v>16.135</v>
      </c>
      <c r="AF68" s="11">
        <v>7.75</v>
      </c>
      <c r="AG68" s="11"/>
      <c r="AH68" s="5">
        <f>IF(AC68=0,AE68+AF68*AG68/2,AE68+AC68*AG68/2)</f>
        <v>16.135</v>
      </c>
      <c r="AI68" s="5">
        <v>6.967</v>
      </c>
      <c r="AJ68" s="3"/>
      <c r="AK68" s="33">
        <v>7</v>
      </c>
      <c r="AL68" s="5">
        <f>IF(AK68=0,AI68*AJ68/2,AK68)</f>
        <v>7</v>
      </c>
      <c r="AM68" t="s" s="19">
        <v>154</v>
      </c>
      <c r="AN68" s="5"/>
      <c r="AO68" s="5"/>
      <c r="AP68" s="5">
        <f>AL68+AI68*(AN68-AO68)/2</f>
        <v>7</v>
      </c>
      <c r="AQ68" s="5">
        <f>0.1*(AE68+AL68)</f>
        <v>2.3135</v>
      </c>
      <c r="AR68" s="11">
        <v>7.75</v>
      </c>
      <c r="AS68" s="11"/>
      <c r="AT68" s="11"/>
      <c r="AU68" s="11"/>
      <c r="AV68" s="33"/>
      <c r="AW68" s="5">
        <f>IF(AV68=0,AS68/6*(AT68+AU68*4),AV68)</f>
        <v>0</v>
      </c>
      <c r="AX68" s="11">
        <v>0.8</v>
      </c>
      <c r="AY68" s="5">
        <f>IF(AX68&lt;0.149*M68+0.329,1,AX68/(0.149*M68+0.329))</f>
        <v>1</v>
      </c>
      <c r="AZ68" s="5">
        <f>IF(AW68*AY68&gt;AL68,(AW68*AY68-AL68)/4,0)</f>
        <v>0</v>
      </c>
      <c r="BA68" s="12">
        <f>0.401+0.1831*(2*AR68^2/(AH68+AP68+AZ68))-0.02016*(2*AR68^2/(AH68+AP68+AZ68))^2+0.0007472*(2*AR68^2/(AH68+AP68+AZ68))^3</f>
        <v>0.9127949003145214</v>
      </c>
      <c r="BB68" s="3"/>
      <c r="BC68" s="3"/>
      <c r="BD68" s="3"/>
      <c r="BE68" s="3"/>
      <c r="BF68" s="33">
        <v>33</v>
      </c>
      <c r="BG68" s="5">
        <f>IF(BF68=0,(BC68+BD68)*(BB68/12+BE68/3),BF68)</f>
        <v>33</v>
      </c>
      <c r="BH68" s="5">
        <f>IF(BG68*AY68&gt;AL68+AZ68,BG68*AY68-AL68-AZ68,0)</f>
        <v>26</v>
      </c>
      <c r="BI68" s="5">
        <f>IF(M68/1.6&lt;8,ROUND(M68/1.6,0),8)</f>
        <v>4</v>
      </c>
      <c r="BJ68" s="5">
        <f>(AH68+AP68+AZ68)*BA68+0.1*BH68</f>
        <v>23.71751001877645</v>
      </c>
      <c r="BK68" s="11">
        <v>1.15</v>
      </c>
      <c r="BL68" s="5">
        <f>M68*0.2</f>
        <v>1.19</v>
      </c>
      <c r="BM68" s="5">
        <f>ROUNDDOWN(M68/2.13,0)</f>
        <v>2</v>
      </c>
      <c r="BN68" s="12">
        <f>M68/4.26</f>
        <v>1.396713615023474</v>
      </c>
      <c r="BO68" s="5">
        <f>IF(M68&lt;8,1.22,IF(M68&lt;15.2,0.108333*M68+0.353,2))</f>
        <v>1.22</v>
      </c>
      <c r="BP68" s="12">
        <f>IF(BK68&lt;BO68,1+0.3*(BO68-BK68)/M68,1)</f>
        <v>1.003529411764706</v>
      </c>
      <c r="BQ68" s="39">
        <v>5</v>
      </c>
      <c r="BR68" s="39">
        <v>1</v>
      </c>
      <c r="BS68" t="s" s="24">
        <v>154</v>
      </c>
      <c r="BT68" s="36"/>
      <c r="BU68" s="36"/>
      <c r="BV68" s="5">
        <f>IF(BQ68&lt;(M68/0.3048)^0.5,1,IF(BU68="x",1-BR68*0.02,IF(BT68="x",1-BR68*0.01,1)))</f>
        <v>1</v>
      </c>
      <c r="BW68" s="12">
        <f>IF(K68="x",MIN(1.315,1.28+U68*N68/BJ68/AR68/1100),IF(L68="x",1.28,MAX(1.245,1.28-U68*N68/BJ68/AR68/1100)))</f>
        <v>1.294152405702841</v>
      </c>
      <c r="BX68" s="41">
        <f>BW68*T68*BV68*BP68*N68^0.3*BJ68^0.4/V68^0.325</f>
        <v>0.9982907906189322</v>
      </c>
      <c r="BY68" s="29"/>
      <c r="BZ68" s="29"/>
      <c r="CA68" s="3"/>
      <c r="CB68" s="3"/>
      <c r="CC68" s="3"/>
      <c r="CD68" s="3"/>
      <c r="CE68" s="3"/>
      <c r="CF68" s="3"/>
      <c r="CG68" t="s" s="30">
        <f>A68</f>
        <v>572</v>
      </c>
    </row>
    <row r="69" ht="12.75" customHeight="1">
      <c r="A69" t="s" s="25">
        <v>573</v>
      </c>
      <c r="B69" t="s" s="19">
        <v>574</v>
      </c>
      <c r="C69" t="s" s="19">
        <v>575</v>
      </c>
      <c r="D69" s="3"/>
      <c r="E69" t="s" s="19">
        <v>576</v>
      </c>
      <c r="F69" s="3"/>
      <c r="G69" t="s" s="19">
        <v>577</v>
      </c>
      <c r="H69" s="32"/>
      <c r="I69" s="32"/>
      <c r="J69" s="36"/>
      <c r="K69" t="s" s="24">
        <v>154</v>
      </c>
      <c r="L69" s="36"/>
      <c r="M69" s="11">
        <v>6.98</v>
      </c>
      <c r="N69" s="5">
        <v>6.98</v>
      </c>
      <c r="O69" s="11"/>
      <c r="P69" s="11"/>
      <c r="Q69" s="37"/>
      <c r="R69" t="s" s="24">
        <v>161</v>
      </c>
      <c r="S69" s="36"/>
      <c r="T69" s="38">
        <f>IF(S69&gt;0,1.048,IF(R69&gt;0,1.048,IF(Q69&gt;0,1.036,0.907+1.55*(P69/N69)-4.449*(P69/N69)^2)))</f>
        <v>1.048</v>
      </c>
      <c r="U69" s="39">
        <v>700</v>
      </c>
      <c r="V69" s="40">
        <f>IF(H69="x",75+U69,IF(M69&lt;6.66,150+U69,-1.7384*M69^2+92.38*M69-388+U69))</f>
        <v>872.11685664</v>
      </c>
      <c r="W69" s="5"/>
      <c r="X69" s="5"/>
      <c r="Y69" s="5"/>
      <c r="Z69" s="5"/>
      <c r="AA69" s="5"/>
      <c r="AB69" s="5"/>
      <c r="AC69" s="5"/>
      <c r="AD69" s="33">
        <v>18</v>
      </c>
      <c r="AE69" s="5">
        <f>IF(AD69=0,(W69+4*X69+2*Y69+4*Z69+AA69)*AC69/12+W69*AB69/1.5,AD69)</f>
        <v>18</v>
      </c>
      <c r="AF69" s="11"/>
      <c r="AG69" s="11"/>
      <c r="AH69" s="5">
        <f>IF(AC69=0,AE69+AF69*AG69/2,AE69+AC69*AG69/2)</f>
        <v>18</v>
      </c>
      <c r="AI69" s="3"/>
      <c r="AJ69" s="3"/>
      <c r="AK69" s="33">
        <v>12</v>
      </c>
      <c r="AL69" s="5">
        <f>IF(AK69=0,AI69*AJ69/2,AK69)</f>
        <v>12</v>
      </c>
      <c r="AM69" s="3"/>
      <c r="AN69" s="5"/>
      <c r="AO69" s="5"/>
      <c r="AP69" s="5">
        <f>AL69+AI69*(AN69-AO69)/2</f>
        <v>12</v>
      </c>
      <c r="AQ69" s="5">
        <f>0.1*(AE69+AL69)</f>
        <v>3</v>
      </c>
      <c r="AR69" s="11">
        <v>10</v>
      </c>
      <c r="AS69" s="11"/>
      <c r="AT69" s="11"/>
      <c r="AU69" s="11"/>
      <c r="AV69" s="33">
        <v>0</v>
      </c>
      <c r="AW69" s="5">
        <f>IF(AV69=0,AS69/6*(AT69+AU69*4),AV69)</f>
        <v>0</v>
      </c>
      <c r="AX69" s="11">
        <v>1.6</v>
      </c>
      <c r="AY69" s="5">
        <f>IF(AX69&lt;0.149*M69+0.329,1,AX69/(0.149*M69+0.329))</f>
        <v>1.168719229814028</v>
      </c>
      <c r="AZ69" s="5">
        <f>IF(AW69*AY69&gt;AL69,(AW69*AY69-AL69)/4,0)</f>
        <v>0</v>
      </c>
      <c r="BA69" s="12">
        <f>0.401+0.1831*(2*AR69^2/(AH69+AP69+AZ69))-0.02016*(2*AR69^2/(AH69+AP69+AZ69))^2+0.0007472*(2*AR69^2/(AH69+AP69+AZ69))^3</f>
        <v>0.9470592592592593</v>
      </c>
      <c r="BB69" s="3"/>
      <c r="BC69" s="3"/>
      <c r="BD69" s="3"/>
      <c r="BE69" s="3"/>
      <c r="BF69" s="33">
        <v>22</v>
      </c>
      <c r="BG69" s="5">
        <f>IF(BF69=0,(BC69+BD69)*(BB69/12+BE69/3),BF69)</f>
        <v>22</v>
      </c>
      <c r="BH69" s="5">
        <f>IF(BG69*AY69&gt;AL69+AZ69,BG69*AY69-AL69-AZ69,0)</f>
        <v>13.71182305590861</v>
      </c>
      <c r="BI69" s="5">
        <f>IF(M69/1.6&lt;8,ROUND(M69/1.6,0),8)</f>
        <v>4</v>
      </c>
      <c r="BJ69" s="5">
        <f>(AH69+AP69+AZ69)*BA69+0.1*BH69</f>
        <v>29.78296008336864</v>
      </c>
      <c r="BK69" s="11">
        <v>1.22</v>
      </c>
      <c r="BL69" s="5">
        <f>M69*0.2</f>
        <v>1.396</v>
      </c>
      <c r="BM69" s="5">
        <f>ROUNDDOWN(M69/2.13,0)</f>
        <v>3</v>
      </c>
      <c r="BN69" s="12">
        <f>M69/4.26</f>
        <v>1.63849765258216</v>
      </c>
      <c r="BO69" s="5">
        <f>IF(M69&lt;8,1.22,IF(M69&lt;15.2,0.108333*M69+0.353,2))</f>
        <v>1.22</v>
      </c>
      <c r="BP69" s="12">
        <f>IF(BK69&lt;BO69,1+0.3*(BO69-BK69)/M69,1)</f>
        <v>1</v>
      </c>
      <c r="BQ69" s="32"/>
      <c r="BR69" s="39">
        <v>0</v>
      </c>
      <c r="BS69" t="s" s="24">
        <v>154</v>
      </c>
      <c r="BT69" s="36"/>
      <c r="BU69" s="36"/>
      <c r="BV69" s="5">
        <f>IF(BQ69&lt;(M69/0.3048)^0.5,1,IF(BU69="x",1-BR69*0.02,IF(BT69="x",1-BR69*0.01,1)))</f>
        <v>1</v>
      </c>
      <c r="BW69" s="12">
        <f>IF(K69="x",MIN(1.315,1.28+U69*N69/BJ69/AR69/1100),IF(L69="x",1.28,MAX(1.245,1.28-U69*N69/BJ69/AR69/1100)))</f>
        <v>1.294913958080005</v>
      </c>
      <c r="BX69" s="41">
        <f>BW69*T69*BV69*BP69*N69^0.3*BJ69^0.4/V69^0.325</f>
        <v>1.046307152566869</v>
      </c>
      <c r="BY69" s="29"/>
      <c r="BZ69" s="29"/>
      <c r="CA69" t="s" s="19">
        <v>162</v>
      </c>
      <c r="CB69" t="s" s="19">
        <v>179</v>
      </c>
      <c r="CC69" t="s" s="19">
        <v>180</v>
      </c>
      <c r="CD69" s="3"/>
      <c r="CE69" s="3"/>
      <c r="CF69" s="3"/>
      <c r="CG69" t="s" s="30">
        <f>A69</f>
        <v>578</v>
      </c>
    </row>
    <row r="70" ht="12.75" customHeight="1">
      <c r="A70" t="s" s="25">
        <v>579</v>
      </c>
      <c r="B70" t="s" s="19">
        <v>580</v>
      </c>
      <c r="C70" t="s" s="19">
        <v>213</v>
      </c>
      <c r="D70" t="s" s="19">
        <v>228</v>
      </c>
      <c r="E70" t="s" s="19">
        <v>581</v>
      </c>
      <c r="F70" s="3"/>
      <c r="G70" s="3"/>
      <c r="H70" s="32"/>
      <c r="I70" s="32"/>
      <c r="J70" t="s" s="24">
        <v>154</v>
      </c>
      <c r="K70" s="36"/>
      <c r="L70" s="36"/>
      <c r="M70" s="11">
        <v>13.95</v>
      </c>
      <c r="N70" s="5">
        <v>13.95</v>
      </c>
      <c r="O70" s="11">
        <v>7.62</v>
      </c>
      <c r="P70" s="11">
        <v>1.08</v>
      </c>
      <c r="Q70" s="37"/>
      <c r="R70" s="36"/>
      <c r="S70" s="36"/>
      <c r="T70" s="38">
        <f>IF(S70&gt;0,1.048,IF(R70&gt;0,1.048,IF(Q70&gt;0,1.036,0.907+1.55*(P70/N70)-4.449*(P70/N70)^2)))</f>
        <v>1.000333777315297</v>
      </c>
      <c r="U70" s="39">
        <v>7860</v>
      </c>
      <c r="V70" s="40">
        <f>IF(H70="x",75+U70,IF(M70&lt;6.66,150+U70,-1.7384*M70^2+92.38*M70-388+U70))</f>
        <v>8422.404014</v>
      </c>
      <c r="W70" s="5"/>
      <c r="X70" s="5"/>
      <c r="Y70" s="5"/>
      <c r="Z70" s="5"/>
      <c r="AA70" s="5"/>
      <c r="AB70" s="5"/>
      <c r="AC70" s="5"/>
      <c r="AD70" s="33">
        <v>86.18000000000001</v>
      </c>
      <c r="AE70" s="5">
        <f>IF(AD70=0,(W70+4*X70+2*Y70+4*Z70+AA70)*AC70/12+W70*AB70/1.5,AD70)</f>
        <v>86.18000000000001</v>
      </c>
      <c r="AF70" s="11">
        <v>18.4</v>
      </c>
      <c r="AG70" s="11"/>
      <c r="AH70" s="5">
        <f>IF(AC70=0,AE70+AF70*AG70/2,AE70+AC70*AG70/2)</f>
        <v>86.18000000000001</v>
      </c>
      <c r="AI70" s="3"/>
      <c r="AJ70" s="3"/>
      <c r="AK70" s="33">
        <v>46</v>
      </c>
      <c r="AL70" s="5">
        <f>IF(AK70=0,AI70*AJ70/2,AK70)</f>
        <v>46</v>
      </c>
      <c r="AM70" s="3"/>
      <c r="AN70" s="5"/>
      <c r="AO70" s="5"/>
      <c r="AP70" s="5">
        <f>AL70+AI70*(AN70-AO70)/2</f>
        <v>46</v>
      </c>
      <c r="AQ70" s="5">
        <f>0.1*(AE70+AL70)</f>
        <v>13.218</v>
      </c>
      <c r="AR70" s="11">
        <v>19.18</v>
      </c>
      <c r="AS70" s="11"/>
      <c r="AT70" s="11"/>
      <c r="AU70" s="11"/>
      <c r="AV70" s="33"/>
      <c r="AW70" s="5">
        <f>IF(AV70=0,AS70/6*(AT70+AU70*4),AV70)</f>
        <v>0</v>
      </c>
      <c r="AX70" s="11">
        <v>1.2</v>
      </c>
      <c r="AY70" s="5">
        <f>IF(AX70&lt;0.149*M70+0.329,1,AX70/(0.149*M70+0.329))</f>
        <v>1</v>
      </c>
      <c r="AZ70" s="5">
        <f>IF(AW70*AY70&gt;AL70,(AW70*AY70-AL70)/4,0)</f>
        <v>0</v>
      </c>
      <c r="BA70" s="12">
        <f>0.401+0.1831*(2*AR70^2/(AH70+AP70+AZ70))-0.02016*(2*AR70^2/(AH70+AP70+AZ70))^2+0.0007472*(2*AR70^2/(AH70+AP70+AZ70))^3</f>
        <v>0.9244218750564869</v>
      </c>
      <c r="BB70" s="3"/>
      <c r="BC70" s="3"/>
      <c r="BD70" s="3"/>
      <c r="BE70" s="3"/>
      <c r="BF70" s="33">
        <v>190</v>
      </c>
      <c r="BG70" s="5">
        <f>IF(BF70=0,(BC70+BD70)*(BB70/12+BE70/3),BF70)</f>
        <v>190</v>
      </c>
      <c r="BH70" s="5">
        <f>IF(BG70*AY70&gt;AL70+AZ70,BG70*AY70-AL70-AZ70,0)</f>
        <v>144</v>
      </c>
      <c r="BI70" s="42">
        <f>IF(M70/1.6&lt;8,ROUND(M70/1.6,0),8)</f>
        <v>8</v>
      </c>
      <c r="BJ70" s="5">
        <f>(AH70+AP70+AZ70)*BA70+0.1*BH70</f>
        <v>136.5900834449664</v>
      </c>
      <c r="BK70" s="11">
        <v>1.85</v>
      </c>
      <c r="BL70" s="5">
        <f>M70*0.2</f>
        <v>2.79</v>
      </c>
      <c r="BM70" s="5">
        <f>ROUNDDOWN(M70/2.13,0)</f>
        <v>6</v>
      </c>
      <c r="BN70" s="12">
        <f>M70/4.26</f>
        <v>3.274647887323944</v>
      </c>
      <c r="BO70" s="5">
        <f>IF(M70&lt;8,1.22,IF(M70&lt;15.2,0.108333*M70+0.353,2))</f>
        <v>1.86424535</v>
      </c>
      <c r="BP70" s="12">
        <f>IF(BK70&lt;BO70,1+0.3*(BO70-BK70)/M70,1)</f>
        <v>1.000306351612903</v>
      </c>
      <c r="BQ70" s="39">
        <v>8</v>
      </c>
      <c r="BR70" s="39">
        <v>2</v>
      </c>
      <c r="BS70" s="36"/>
      <c r="BT70" t="s" s="24">
        <v>154</v>
      </c>
      <c r="BU70" s="36"/>
      <c r="BV70" s="5">
        <f>IF(BQ70&lt;(M70/0.3048)^0.5,1,IF(BU70="x",1-BR70*0.02,IF(BT70="x",1-BR70*0.01,1)))</f>
        <v>0.98</v>
      </c>
      <c r="BW70" s="12">
        <f>IF(K70="x",MIN(1.315,1.28+U70*N70/BJ70/AR70/1100),IF(L70="x",1.28,MAX(1.245,1.28-U70*N70/BJ70/AR70/1100)))</f>
        <v>1.245</v>
      </c>
      <c r="BX70" s="41">
        <f>BW70*T70*BV70*BP70*N70^0.3*BJ70^0.4/V70^0.325</f>
        <v>1.019639366833314</v>
      </c>
      <c r="BY70" s="29"/>
      <c r="BZ70" s="29"/>
      <c r="CA70" t="s" s="19">
        <v>213</v>
      </c>
      <c r="CB70" t="s" s="19">
        <v>582</v>
      </c>
      <c r="CC70" t="s" s="19">
        <v>232</v>
      </c>
      <c r="CD70" t="s" s="19">
        <v>583</v>
      </c>
      <c r="CE70" s="3"/>
      <c r="CF70" s="3"/>
      <c r="CG70" t="s" s="30">
        <f>A70</f>
        <v>584</v>
      </c>
    </row>
    <row r="71" ht="12.75" customHeight="1">
      <c r="A71" t="s" s="53">
        <v>585</v>
      </c>
      <c r="B71" t="s" s="54">
        <v>586</v>
      </c>
      <c r="C71" s="55"/>
      <c r="D71" s="55"/>
      <c r="E71" t="s" s="54">
        <v>587</v>
      </c>
      <c r="F71" s="55"/>
      <c r="G71" t="s" s="54">
        <v>588</v>
      </c>
      <c r="H71" s="56"/>
      <c r="I71" s="56"/>
      <c r="J71" s="57"/>
      <c r="K71" t="s" s="58">
        <v>154</v>
      </c>
      <c r="L71" s="57"/>
      <c r="M71" s="59">
        <v>6.92</v>
      </c>
      <c r="N71" s="60">
        <f>M71-0.12</f>
        <v>6.8</v>
      </c>
      <c r="O71" s="59">
        <v>5.17</v>
      </c>
      <c r="P71" s="59"/>
      <c r="Q71" s="61"/>
      <c r="R71" s="62">
        <v>1.67</v>
      </c>
      <c r="S71" s="57"/>
      <c r="T71" s="63">
        <f>IF(S71&gt;0,1.048,IF(R71&gt;0,1.048,IF(Q71&gt;0,1.036,0.907+1.55*(P71/N71)-4.449*(P71/N71)^2)))</f>
        <v>1.048</v>
      </c>
      <c r="U71" s="62">
        <v>360</v>
      </c>
      <c r="V71" s="64">
        <f>IF(H71="x",75+U71,IF(M71&lt;6.66,150+U71,-1.7384*M71^2+92.38*M71-388+U71))</f>
        <v>528.0238822399999</v>
      </c>
      <c r="W71" s="60">
        <v>3.05</v>
      </c>
      <c r="X71" s="60">
        <v>2.93</v>
      </c>
      <c r="Y71" s="60">
        <v>2.69</v>
      </c>
      <c r="Z71" s="60">
        <v>2.2</v>
      </c>
      <c r="AA71" s="60">
        <v>0.68</v>
      </c>
      <c r="AB71" s="60">
        <v>0.18</v>
      </c>
      <c r="AC71" s="60">
        <v>9.98</v>
      </c>
      <c r="AD71" s="65"/>
      <c r="AE71" s="60">
        <f>IF(AD71=0,(W71+4*X71+2*Y71+4*Z71+AA71)*AC71/12+W71*AB71/1.5,AD71)</f>
        <v>25.00828333333333</v>
      </c>
      <c r="AF71" s="59"/>
      <c r="AG71" s="59">
        <v>0.49</v>
      </c>
      <c r="AH71" s="60">
        <f>IF(AC71=0,AE71+AF71*AG71/2,AE71+AC71*AG71/2)</f>
        <v>27.45338333333333</v>
      </c>
      <c r="AI71" s="60">
        <v>8.16</v>
      </c>
      <c r="AJ71" s="60">
        <v>1.89</v>
      </c>
      <c r="AK71" s="65"/>
      <c r="AL71" s="60">
        <f>IF(AK71=0,AI71*AJ71/2,AK71)</f>
        <v>7.7112</v>
      </c>
      <c r="AM71" t="s" s="54">
        <v>154</v>
      </c>
      <c r="AN71" s="60"/>
      <c r="AO71" s="60"/>
      <c r="AP71" s="60">
        <f>AL71+AI71*(AN71-AO71)/2</f>
        <v>7.7112</v>
      </c>
      <c r="AQ71" s="60">
        <f>0.1*(AE71+AL71)</f>
        <v>3.271948333333334</v>
      </c>
      <c r="AR71" s="59">
        <v>10.7</v>
      </c>
      <c r="AS71" s="59"/>
      <c r="AT71" s="59"/>
      <c r="AU71" s="59"/>
      <c r="AV71" s="65">
        <f>0.409*11.02*(3.4+5.05/2)</f>
        <v>26.7050415</v>
      </c>
      <c r="AW71" s="5">
        <f>IF(AV71=0,AS71/6*(AT71+AU71*4),AV71)</f>
        <v>26.7050415</v>
      </c>
      <c r="AX71" s="59">
        <v>1.37</v>
      </c>
      <c r="AY71" s="60">
        <f>IF(AX71&lt;0.149*M71+0.329,1,AX71/(0.149*M71+0.329))</f>
        <v>1.007293688606553</v>
      </c>
      <c r="AZ71" s="5">
        <f>IF(AW71*AY71&gt;AL71,(AW71*AY71-AL71)/4,0)</f>
        <v>4.797154939231516</v>
      </c>
      <c r="BA71" s="66">
        <f>0.401+0.1831*(2*AR71^2/(AH71+AP71+AZ71))-0.02016*(2*AR71^2/(AH71+AP71+AZ71))^2+0.0007472*(2*AR71^2/(AH71+AP71+AZ71))^3</f>
        <v>0.9288238644111012</v>
      </c>
      <c r="BB71" s="60"/>
      <c r="BC71" s="60"/>
      <c r="BD71" s="60"/>
      <c r="BE71" s="60"/>
      <c r="BF71" s="65"/>
      <c r="BG71" s="60">
        <f>IF(BF71=0,(BC71+BD71)*(BB71/12+BE71/3),BF71)</f>
        <v>0</v>
      </c>
      <c r="BH71" s="60">
        <f>IF(BG71*AY71&gt;AL71+AZ71,BG71*AY71-AL71-AZ71,0)</f>
        <v>0</v>
      </c>
      <c r="BI71" s="60">
        <f>IF(M71/1.6&lt;8,ROUND(M71/1.6,0),8)</f>
        <v>4</v>
      </c>
      <c r="BJ71" s="60">
        <f>(AH71+AP71+AZ71)*BA71+0.1*BH71</f>
        <v>37.11741617090869</v>
      </c>
      <c r="BK71" s="59">
        <v>0.55</v>
      </c>
      <c r="BL71" s="60">
        <f>M71*0.2</f>
        <v>1.384</v>
      </c>
      <c r="BM71" s="60">
        <f>ROUNDDOWN(M71/2.13,0)</f>
        <v>3</v>
      </c>
      <c r="BN71" s="66">
        <f>M71/4.26</f>
        <v>1.624413145539906</v>
      </c>
      <c r="BO71" s="60">
        <f>IF(M71&lt;8,1.22,IF(M71&lt;15.2,0.108333*M71+0.353,2))</f>
        <v>1.22</v>
      </c>
      <c r="BP71" s="66">
        <f>IF(BK71&lt;BO71,1+0.3*(BO71-BK71)/M71,1)</f>
        <v>1.029046242774567</v>
      </c>
      <c r="BQ71" s="56"/>
      <c r="BR71" s="56"/>
      <c r="BS71" t="s" s="58">
        <v>154</v>
      </c>
      <c r="BT71" s="57"/>
      <c r="BU71" s="57"/>
      <c r="BV71" s="60">
        <f>IF(BQ71&lt;(M71/0.3048)^0.5,1,IF(BU71="x",1-BR71*0.02,IF(BT71="x",1-BR71*0.01,1)))</f>
        <v>1</v>
      </c>
      <c r="BW71" s="66">
        <f>IF(K71="x",MIN(1.315,1.28+U71*N71/BJ71/AR71/1100),IF(L71="x",1.28,MAX(1.245,1.28-U71*N71/BJ71/AR71/1100)))</f>
        <v>1.285603472104835</v>
      </c>
      <c r="BX71" s="67">
        <f>BW71*T71*BV71*BP71*N71^0.3*BJ71^0.4/V71^0.325</f>
        <v>1.363404019688977</v>
      </c>
      <c r="BY71" s="29"/>
      <c r="BZ71" s="29"/>
      <c r="CA71" t="s" s="54">
        <v>589</v>
      </c>
      <c r="CB71" s="46">
        <v>38181</v>
      </c>
      <c r="CC71" s="3"/>
      <c r="CD71" s="3"/>
      <c r="CE71" s="3"/>
      <c r="CF71" s="3"/>
      <c r="CG71" t="s" s="30">
        <f>A71</f>
        <v>590</v>
      </c>
    </row>
    <row r="72" ht="12.75" customHeight="1">
      <c r="A72" t="s" s="25">
        <v>591</v>
      </c>
      <c r="B72" t="s" s="19">
        <v>592</v>
      </c>
      <c r="C72" t="s" s="19">
        <v>593</v>
      </c>
      <c r="D72" t="s" s="19">
        <v>594</v>
      </c>
      <c r="E72" t="s" s="19">
        <v>595</v>
      </c>
      <c r="F72" t="s" s="19">
        <v>596</v>
      </c>
      <c r="G72" t="s" s="19">
        <v>597</v>
      </c>
      <c r="H72" s="32"/>
      <c r="I72" s="32"/>
      <c r="J72" s="36"/>
      <c r="K72" t="s" s="24">
        <v>154</v>
      </c>
      <c r="L72" s="36"/>
      <c r="M72" s="11">
        <v>4.4</v>
      </c>
      <c r="N72" s="5">
        <v>4.28</v>
      </c>
      <c r="O72" s="11">
        <v>3.5</v>
      </c>
      <c r="P72" s="11"/>
      <c r="Q72" s="37"/>
      <c r="R72" s="43">
        <v>0.72</v>
      </c>
      <c r="S72" s="36"/>
      <c r="T72" s="38">
        <f>IF(S72&gt;0,1.048,IF(R72&gt;0,1.048,IF(Q72&gt;0,1.036,0.907+1.55*(P72/N72)-4.449*(P72/N72)^2)))</f>
        <v>1.048</v>
      </c>
      <c r="U72" s="39">
        <v>140</v>
      </c>
      <c r="V72" s="40">
        <f>IF(H72="x",75+U72,IF(M72&lt;6.66,150+U72,-1.7384*M72^2+92.38*M72-388+U72))</f>
        <v>290</v>
      </c>
      <c r="W72" s="5"/>
      <c r="X72" s="5"/>
      <c r="Y72" s="5"/>
      <c r="Z72" s="5"/>
      <c r="AA72" s="5"/>
      <c r="AB72" s="5"/>
      <c r="AC72" s="5">
        <v>6.07</v>
      </c>
      <c r="AD72" s="33">
        <v>8.300000000000001</v>
      </c>
      <c r="AE72" s="5">
        <f>IF(AD72=0,(W72+4*X72+2*Y72+4*Z72+AA72)*AC72/12+W72*AB72/1.5,AD72)</f>
        <v>8.300000000000001</v>
      </c>
      <c r="AF72" s="11">
        <v>6.5</v>
      </c>
      <c r="AG72" s="11"/>
      <c r="AH72" s="5">
        <f>IF(AC72=0,AE72+AF72*AG72/2,AE72+AC72*AG72/2)</f>
        <v>8.300000000000001</v>
      </c>
      <c r="AI72" s="5">
        <v>4.47</v>
      </c>
      <c r="AJ72" s="3"/>
      <c r="AK72" s="33">
        <v>3.2</v>
      </c>
      <c r="AL72" s="5">
        <f>IF(AK72=0,AI72*AJ72/2,AK72)</f>
        <v>3.2</v>
      </c>
      <c r="AM72" t="s" s="19">
        <v>154</v>
      </c>
      <c r="AN72" s="5"/>
      <c r="AO72" s="5"/>
      <c r="AP72" s="5">
        <f>AL72+AI72*(AN72-AO72)/2</f>
        <v>3.2</v>
      </c>
      <c r="AQ72" s="5">
        <f>0.1*(AE72+AL72)</f>
        <v>1.15</v>
      </c>
      <c r="AR72" s="11">
        <v>6.5</v>
      </c>
      <c r="AS72" s="11"/>
      <c r="AT72" s="11"/>
      <c r="AU72" s="11"/>
      <c r="AV72" s="33">
        <v>8</v>
      </c>
      <c r="AW72" s="5">
        <f>IF(AV72=0,AS72/6*(AT72+AU72*4),AV72)</f>
        <v>8</v>
      </c>
      <c r="AX72" s="11">
        <v>1.15</v>
      </c>
      <c r="AY72" s="5">
        <f>IF(AX72&lt;0.149*M72+0.329,1,AX72/(0.149*M72+0.329))</f>
        <v>1.167986999796871</v>
      </c>
      <c r="AZ72" s="5">
        <f>IF(AW72*AY72&gt;AL72,(AW72*AY72-AL72)/4,0)</f>
        <v>1.535973999593743</v>
      </c>
      <c r="BA72" s="12">
        <f>0.401+0.1831*(2*AR72^2/(AH72+AP72+AZ72))-0.02016*(2*AR72^2/(AH72+AP72+AZ72))^2+0.0007472*(2*AR72^2/(AH72+AP72+AZ72))^3</f>
        <v>0.9443058855695854</v>
      </c>
      <c r="BB72" s="3"/>
      <c r="BC72" s="3"/>
      <c r="BD72" s="3"/>
      <c r="BE72" s="3"/>
      <c r="BF72" s="33"/>
      <c r="BG72" s="5">
        <f>IF(BF72=0,(BC72+BD72)*(BB72/12+BE72/3),BF72)</f>
        <v>0</v>
      </c>
      <c r="BH72" s="5">
        <f>IF(BG72*AY72&gt;AL72+AZ72,BG72*AY72-AL72-AZ72,0)</f>
        <v>0</v>
      </c>
      <c r="BI72" s="5">
        <f>IF(M72/1.6&lt;8,ROUND(M72/1.6,0),8)</f>
        <v>3</v>
      </c>
      <c r="BJ72" s="5">
        <f>(AH72+AP72+AZ72)*BA72+0.1*BH72</f>
        <v>12.30994697194846</v>
      </c>
      <c r="BK72" s="11">
        <v>0.25</v>
      </c>
      <c r="BL72" s="5">
        <f>M72*0.2</f>
        <v>0.8800000000000001</v>
      </c>
      <c r="BM72" s="5">
        <f>ROUNDDOWN(M72/2.13,0)</f>
        <v>2</v>
      </c>
      <c r="BN72" s="12">
        <f>M72/4.26</f>
        <v>1.032863849765258</v>
      </c>
      <c r="BO72" s="5">
        <f>IF(M72&lt;8,1.22,IF(M72&lt;15.2,0.108333*M72+0.353,2))</f>
        <v>1.22</v>
      </c>
      <c r="BP72" s="12">
        <f>IF(BK72&lt;BO72,1+0.3*(BO72-BK72)/M72,1)</f>
        <v>1.066136363636364</v>
      </c>
      <c r="BQ72" s="39">
        <v>2</v>
      </c>
      <c r="BR72" s="39">
        <v>1</v>
      </c>
      <c r="BS72" t="s" s="24">
        <v>154</v>
      </c>
      <c r="BT72" s="36"/>
      <c r="BU72" s="36"/>
      <c r="BV72" s="5">
        <f>IF(BQ72&lt;(M72/0.3048)^0.5,1,IF(BU72="x",1-BR72*0.02,IF(BT72="x",1-BR72*0.01,1)))</f>
        <v>1</v>
      </c>
      <c r="BW72" s="12">
        <f>IF(K72="x",MIN(1.315,1.28+U72*N72/BJ72/AR72/1100),IF(L72="x",1.28,MAX(1.245,1.28-U72*N72/BJ72/AR72/1100)))</f>
        <v>1.286807843770178</v>
      </c>
      <c r="BX72" s="41">
        <f>BW72*T72*BV72*BP72*N72^0.3*BJ72^0.4/V72^0.325</f>
        <v>0.9614882756336226</v>
      </c>
      <c r="BY72" s="29"/>
      <c r="BZ72" s="29"/>
      <c r="CA72" t="s" s="19">
        <v>188</v>
      </c>
      <c r="CB72" t="s" s="19">
        <v>598</v>
      </c>
      <c r="CC72" t="s" s="19">
        <v>180</v>
      </c>
      <c r="CD72" s="3"/>
      <c r="CE72" s="3"/>
      <c r="CF72" s="3"/>
      <c r="CG72" t="s" s="30">
        <f>A72</f>
        <v>599</v>
      </c>
    </row>
    <row r="73" ht="12.75" customHeight="1">
      <c r="A73" t="s" s="25">
        <v>600</v>
      </c>
      <c r="B73" t="s" s="19">
        <v>338</v>
      </c>
      <c r="C73" t="s" s="19">
        <v>555</v>
      </c>
      <c r="D73" s="3"/>
      <c r="E73" t="s" s="19">
        <v>601</v>
      </c>
      <c r="F73" s="3"/>
      <c r="G73" t="s" s="19">
        <v>602</v>
      </c>
      <c r="H73" s="32"/>
      <c r="I73" s="32"/>
      <c r="J73" s="36"/>
      <c r="K73" t="s" s="24">
        <v>154</v>
      </c>
      <c r="L73" s="36"/>
      <c r="M73" s="11">
        <v>8.529999999999999</v>
      </c>
      <c r="N73" s="5">
        <v>8.529999999999999</v>
      </c>
      <c r="O73" s="11"/>
      <c r="P73" s="11"/>
      <c r="Q73" s="37"/>
      <c r="R73" t="s" s="24">
        <v>161</v>
      </c>
      <c r="S73" s="36"/>
      <c r="T73" s="38">
        <f>IF(S73&gt;0,1.048,IF(R73&gt;0,1.048,IF(Q73&gt;0,1.036,0.907+1.55*(P73/N73)-4.449*(P73/N73)^2)))</f>
        <v>1.048</v>
      </c>
      <c r="U73" s="39">
        <v>745</v>
      </c>
      <c r="V73" s="40">
        <f>IF(H73="x",75+U73,IF(M73&lt;6.66,150+U73,-1.7384*M73^2+92.38*M73-388+U73))</f>
        <v>1018.51385144</v>
      </c>
      <c r="W73" s="5"/>
      <c r="X73" s="5"/>
      <c r="Y73" s="5"/>
      <c r="Z73" s="5"/>
      <c r="AA73" s="5"/>
      <c r="AB73" s="5"/>
      <c r="AC73" s="5">
        <v>13.5</v>
      </c>
      <c r="AD73" s="33">
        <v>47.43</v>
      </c>
      <c r="AE73" s="5">
        <f>IF(AD73=0,(W73+4*X73+2*Y73+4*Z73+AA73)*AC73/12+W73*AB73/1.5,AD73)</f>
        <v>47.43</v>
      </c>
      <c r="AF73" s="11">
        <v>14.7</v>
      </c>
      <c r="AG73" s="11"/>
      <c r="AH73" s="5">
        <f>IF(AC73=0,AE73+AF73*AG73/2,AE73+AC73*AG73/2)</f>
        <v>47.43</v>
      </c>
      <c r="AI73" s="3"/>
      <c r="AJ73" s="3"/>
      <c r="AK73" s="33">
        <v>15.15</v>
      </c>
      <c r="AL73" s="5">
        <f>IF(AK73=0,AI73*AJ73/2,AK73)</f>
        <v>15.15</v>
      </c>
      <c r="AM73" s="3"/>
      <c r="AN73" s="5"/>
      <c r="AO73" s="5"/>
      <c r="AP73" s="5">
        <f>AL73+AI73*(AN73-AO73)/2</f>
        <v>15.15</v>
      </c>
      <c r="AQ73" s="5">
        <f>0.1*(AE73+AL73)</f>
        <v>6.258</v>
      </c>
      <c r="AR73" s="11">
        <v>14.7</v>
      </c>
      <c r="AS73" s="11"/>
      <c r="AT73" s="11"/>
      <c r="AU73" s="11"/>
      <c r="AV73" s="33"/>
      <c r="AW73" s="5">
        <f>IF(AV73=0,AS73/6*(AT73+AU73*4),AV73)</f>
        <v>0</v>
      </c>
      <c r="AX73" s="11">
        <v>1.2</v>
      </c>
      <c r="AY73" s="5">
        <f>IF(AX73&lt;0.149*M73+0.329,1,AX73/(0.149*M73+0.329))</f>
        <v>1</v>
      </c>
      <c r="AZ73" s="5">
        <f>IF(AW73*AY73&gt;AL73,(AW73*AY73-AL73)/4,0)</f>
        <v>0</v>
      </c>
      <c r="BA73" s="12">
        <f>0.401+0.1831*(2*AR73^2/(AH73+AP73+AZ73))-0.02016*(2*AR73^2/(AH73+AP73+AZ73))^2+0.0007472*(2*AR73^2/(AH73+AP73+AZ73))^3</f>
        <v>0.9501043088998047</v>
      </c>
      <c r="BB73" s="3"/>
      <c r="BC73" s="3"/>
      <c r="BD73" s="3"/>
      <c r="BE73" s="3"/>
      <c r="BF73" s="33">
        <v>60</v>
      </c>
      <c r="BG73" s="5">
        <f>IF(BF73=0,(BC73+BD73)*(BB73/12+BE73/3),BF73)</f>
        <v>60</v>
      </c>
      <c r="BH73" s="5">
        <f>IF(BG73*AY73&gt;AL73+AZ73,BG73*AY73-AL73-AZ73,0)</f>
        <v>44.85</v>
      </c>
      <c r="BI73" s="5">
        <f>IF(M73/1.6&lt;8,ROUND(M73/1.6,0),8)</f>
        <v>5</v>
      </c>
      <c r="BJ73" s="5">
        <f>(AH73+AP73+AZ73)*BA73+0.1*BH73</f>
        <v>63.94252765094978</v>
      </c>
      <c r="BK73" s="11">
        <v>1.22</v>
      </c>
      <c r="BL73" s="5">
        <f>M73*0.2</f>
        <v>1.706</v>
      </c>
      <c r="BM73" s="5">
        <f>ROUNDDOWN(M73/2.13,0)</f>
        <v>4</v>
      </c>
      <c r="BN73" s="12">
        <f>M73/4.26</f>
        <v>2.002347417840376</v>
      </c>
      <c r="BO73" s="5">
        <f>IF(M73&lt;8,1.22,IF(M73&lt;15.2,0.108333*M73+0.353,2))</f>
        <v>1.27708049</v>
      </c>
      <c r="BP73" s="12">
        <f>IF(BK73&lt;BO73,1+0.3*(BO73-BK73)/M73,1)</f>
        <v>1.002007520164127</v>
      </c>
      <c r="BQ73" s="32"/>
      <c r="BR73" s="32"/>
      <c r="BS73" t="s" s="24">
        <v>154</v>
      </c>
      <c r="BT73" s="36"/>
      <c r="BU73" s="36"/>
      <c r="BV73" s="5">
        <f>IF(BQ73&lt;(M73/0.3048)^0.5,1,IF(BU73="x",1-BR73*0.02,IF(BT73="x",1-BR73*0.01,1)))</f>
        <v>1</v>
      </c>
      <c r="BW73" s="12">
        <f>IF(K73="x",MIN(1.315,1.28+U73*N73/BJ73/AR73/1100),IF(L73="x",1.28,MAX(1.245,1.28-U73*N73/BJ73/AR73/1100)))</f>
        <v>1.286146182957641</v>
      </c>
      <c r="BX73" s="41">
        <f>BW73*T73*BV73*BP73*N73^0.3*BJ73^0.4/V73^0.325</f>
        <v>1.427361474717397</v>
      </c>
      <c r="BY73" s="29"/>
      <c r="BZ73" s="29"/>
      <c r="CA73" t="s" s="19">
        <v>162</v>
      </c>
      <c r="CB73" t="s" s="19">
        <v>603</v>
      </c>
      <c r="CC73" t="s" s="19">
        <v>254</v>
      </c>
      <c r="CD73" t="s" s="19">
        <v>340</v>
      </c>
      <c r="CE73" s="3"/>
      <c r="CF73" s="3"/>
      <c r="CG73" t="s" s="30">
        <f>A73</f>
        <v>604</v>
      </c>
    </row>
    <row r="74" ht="12.75" customHeight="1">
      <c r="A74" t="s" s="25">
        <v>605</v>
      </c>
      <c r="B74" t="s" s="19">
        <v>606</v>
      </c>
      <c r="C74" t="s" s="19">
        <v>304</v>
      </c>
      <c r="D74" t="s" s="19">
        <v>305</v>
      </c>
      <c r="E74" s="3"/>
      <c r="F74" s="3"/>
      <c r="G74" s="3"/>
      <c r="H74" s="32"/>
      <c r="I74" s="32"/>
      <c r="J74" t="s" s="24">
        <v>154</v>
      </c>
      <c r="K74" s="36"/>
      <c r="L74" s="36"/>
      <c r="M74" s="11">
        <v>9.9</v>
      </c>
      <c r="N74" s="5">
        <v>9.9</v>
      </c>
      <c r="O74" s="11">
        <v>5.3</v>
      </c>
      <c r="P74" s="11">
        <v>0.9</v>
      </c>
      <c r="Q74" s="37"/>
      <c r="R74" s="36"/>
      <c r="S74" s="36"/>
      <c r="T74" s="38">
        <f>IF(S74&gt;0,1.048,IF(R74&gt;0,1.048,IF(Q74&gt;0,1.036,0.907+1.55*(P74/N74)-4.449*(P74/N74)^2)))</f>
        <v>1.011140495867769</v>
      </c>
      <c r="U74" s="39">
        <v>3000</v>
      </c>
      <c r="V74" s="40">
        <f>IF(H74="x",75+U74,IF(M74&lt;6.66,150+U74,-1.7384*M74^2+92.38*M74-388+U74))</f>
        <v>3356.181416</v>
      </c>
      <c r="W74" s="5"/>
      <c r="X74" s="5"/>
      <c r="Y74" s="5"/>
      <c r="Z74" s="5"/>
      <c r="AA74" s="5"/>
      <c r="AB74" s="5"/>
      <c r="AC74" s="5"/>
      <c r="AD74" s="33">
        <v>38</v>
      </c>
      <c r="AE74" s="5">
        <f>IF(AD74=0,(W74+4*X74+2*Y74+4*Z74+AA74)*AC74/12+W74*AB74/1.5,AD74)</f>
        <v>38</v>
      </c>
      <c r="AF74" s="11"/>
      <c r="AG74" s="11"/>
      <c r="AH74" s="5">
        <f>IF(AC74=0,AE74+AF74*AG74/2,AE74+AC74*AG74/2)</f>
        <v>38</v>
      </c>
      <c r="AI74" s="3"/>
      <c r="AJ74" s="3"/>
      <c r="AK74" s="33">
        <v>17</v>
      </c>
      <c r="AL74" s="5">
        <f>IF(AK74=0,AI74*AJ74/2,AK74)</f>
        <v>17</v>
      </c>
      <c r="AM74" s="3"/>
      <c r="AN74" s="5"/>
      <c r="AO74" s="5"/>
      <c r="AP74" s="5">
        <f>AL74+AI74*(AN74-AO74)/2</f>
        <v>17</v>
      </c>
      <c r="AQ74" s="5">
        <f>0.1*(AE74+AL74)</f>
        <v>5.5</v>
      </c>
      <c r="AR74" s="11">
        <v>14.4</v>
      </c>
      <c r="AS74" s="11"/>
      <c r="AT74" s="11"/>
      <c r="AU74" s="11"/>
      <c r="AV74" s="33"/>
      <c r="AW74" s="5">
        <f>IF(AV74=0,AS74/6*(AT74+AU74*4),AV74)</f>
        <v>0</v>
      </c>
      <c r="AX74" s="11">
        <v>0</v>
      </c>
      <c r="AY74" s="5">
        <f>IF(AX74&lt;0.149*M74+0.329,1,AX74/(0.149*M74+0.329))</f>
        <v>1</v>
      </c>
      <c r="AZ74" s="5">
        <f>IF(AW74*AY74&gt;AL74,(AW74*AY74-AL74)/4,0)</f>
        <v>0</v>
      </c>
      <c r="BA74" s="12">
        <f>0.401+0.1831*(2*AR74^2/(AH74+AP74+AZ74))-0.02016*(2*AR74^2/(AH74+AP74+AZ74))^2+0.0007472*(2*AR74^2/(AH74+AP74+AZ74))^3</f>
        <v>0.9557436635887306</v>
      </c>
      <c r="BB74" s="3"/>
      <c r="BC74" s="3"/>
      <c r="BD74" s="3"/>
      <c r="BE74" s="3"/>
      <c r="BF74" s="33">
        <v>40</v>
      </c>
      <c r="BG74" s="5">
        <f>IF(BF74=0,(BC74+BD74)*(BB74/12+BE74/3),BF74)</f>
        <v>40</v>
      </c>
      <c r="BH74" s="5">
        <f>IF(BG74*AY74&gt;AL74+AZ74,BG74*AY74-AL74-AZ74,0)</f>
        <v>23</v>
      </c>
      <c r="BI74" s="5">
        <f>IF(M74/1.6&lt;8,ROUND(M74/1.6,0),8)</f>
        <v>6</v>
      </c>
      <c r="BJ74" s="5">
        <f>(AH74+AP74+AZ74)*BA74+0.1*BH74</f>
        <v>54.86590149738018</v>
      </c>
      <c r="BK74" s="11">
        <v>1.9</v>
      </c>
      <c r="BL74" s="5">
        <f>M74*0.2</f>
        <v>1.98</v>
      </c>
      <c r="BM74" s="5">
        <f>ROUNDDOWN(M74/2.13,0)</f>
        <v>4</v>
      </c>
      <c r="BN74" s="12">
        <f>M74/4.26</f>
        <v>2.323943661971831</v>
      </c>
      <c r="BO74" s="5">
        <f>IF(M74&lt;8,1.22,IF(M74&lt;15.2,0.108333*M74+0.353,2))</f>
        <v>1.4254967</v>
      </c>
      <c r="BP74" s="12">
        <f>IF(BK74&lt;BO74,1+0.3*(BO74-BK74)/M74,1)</f>
        <v>1</v>
      </c>
      <c r="BQ74" s="32"/>
      <c r="BR74" s="32"/>
      <c r="BS74" t="s" s="24">
        <v>154</v>
      </c>
      <c r="BT74" s="36"/>
      <c r="BU74" s="36"/>
      <c r="BV74" s="5">
        <f>IF(BQ74&lt;(M74/0.3048)^0.5,1,IF(BU74="x",1-BR74*0.02,IF(BT74="x",1-BR74*0.01,1)))</f>
        <v>1</v>
      </c>
      <c r="BW74" s="12">
        <f>IF(K74="x",MIN(1.315,1.28+U74*N74/BJ74/AR74/1100),IF(L74="x",1.28,MAX(1.245,1.28-U74*N74/BJ74/AR74/1100)))</f>
        <v>1.245825768850448</v>
      </c>
      <c r="BX74" s="41">
        <f>BW74*T74*BV74*BP74*N74^0.3*BJ74^0.4/V74^0.325</f>
        <v>0.8887520504717321</v>
      </c>
      <c r="BY74" s="29"/>
      <c r="BZ74" s="29"/>
      <c r="CA74" t="s" s="19">
        <v>162</v>
      </c>
      <c r="CB74" t="s" s="19">
        <v>607</v>
      </c>
      <c r="CC74" t="s" s="19">
        <v>164</v>
      </c>
      <c r="CD74" t="s" s="19">
        <v>608</v>
      </c>
      <c r="CE74" s="3"/>
      <c r="CF74" s="3"/>
      <c r="CG74" t="s" s="30">
        <f>A74</f>
        <v>609</v>
      </c>
    </row>
    <row r="75" ht="12.75" customHeight="1">
      <c r="A75" t="s" s="25">
        <v>610</v>
      </c>
      <c r="B75" t="s" s="19">
        <v>611</v>
      </c>
      <c r="C75" t="s" s="19">
        <v>218</v>
      </c>
      <c r="D75" t="s" s="19">
        <v>219</v>
      </c>
      <c r="E75" t="s" s="19">
        <v>612</v>
      </c>
      <c r="F75" s="3"/>
      <c r="G75" s="3"/>
      <c r="H75" s="32"/>
      <c r="I75" s="32"/>
      <c r="J75" t="s" s="24">
        <v>154</v>
      </c>
      <c r="K75" s="36"/>
      <c r="L75" s="36"/>
      <c r="M75" s="11">
        <v>14.4</v>
      </c>
      <c r="N75" s="5">
        <v>14.3</v>
      </c>
      <c r="O75" s="11">
        <v>7.7</v>
      </c>
      <c r="P75" s="11"/>
      <c r="Q75" s="37"/>
      <c r="R75" t="s" s="24">
        <v>613</v>
      </c>
      <c r="S75" s="36"/>
      <c r="T75" s="38">
        <f>IF(S75&gt;0,1.048,IF(R75&gt;0,1.048,IF(Q75&gt;0,1.036,0.907+1.55*(P75/N75)-4.449*(P75/N75)^2)))</f>
        <v>1.048</v>
      </c>
      <c r="U75" s="39">
        <v>10800</v>
      </c>
      <c r="V75" s="40">
        <f>IF(H75="x",75+U75,IF(M75&lt;6.66,150+U75,-1.7384*M75^2+92.38*M75-388+U75))</f>
        <v>11381.797376</v>
      </c>
      <c r="W75" s="5"/>
      <c r="X75" s="5"/>
      <c r="Y75" s="5"/>
      <c r="Z75" s="5"/>
      <c r="AA75" s="5"/>
      <c r="AB75" s="5"/>
      <c r="AC75" s="5">
        <v>18.2</v>
      </c>
      <c r="AD75" s="33">
        <v>75</v>
      </c>
      <c r="AE75" s="5">
        <f>IF(AD75=0,(W75+4*X75+2*Y75+4*Z75+AA75)*AC75/12+W75*AB75/1.5,AD75)</f>
        <v>75</v>
      </c>
      <c r="AF75" s="11">
        <v>20</v>
      </c>
      <c r="AG75" s="11"/>
      <c r="AH75" s="5">
        <f>IF(AC75=0,AE75+AF75*AG75/2,AE75+AC75*AG75/2)</f>
        <v>75</v>
      </c>
      <c r="AI75" s="5">
        <v>16.7</v>
      </c>
      <c r="AJ75" s="3"/>
      <c r="AK75" s="33">
        <v>54</v>
      </c>
      <c r="AL75" s="5">
        <f>IF(AK75=0,AI75*AJ75/2,AK75)</f>
        <v>54</v>
      </c>
      <c r="AM75" s="3"/>
      <c r="AN75" s="5"/>
      <c r="AO75" s="5">
        <f>0.052*PI()</f>
        <v>0.1633628179866692</v>
      </c>
      <c r="AP75" s="5">
        <f>AL75+AI75*(AN75-AO75)/2</f>
        <v>52.63592046981131</v>
      </c>
      <c r="AQ75" s="5">
        <f>0.1*(AE75+AL75)</f>
        <v>12.9</v>
      </c>
      <c r="AR75" s="11">
        <v>21</v>
      </c>
      <c r="AS75" s="11"/>
      <c r="AT75" s="11"/>
      <c r="AU75" s="11"/>
      <c r="AV75" s="33">
        <v>68</v>
      </c>
      <c r="AW75" s="5">
        <f>IF(AV75=0,AS75/6*(AT75+AU75*4),AV75)</f>
        <v>68</v>
      </c>
      <c r="AX75" s="11">
        <v>1</v>
      </c>
      <c r="AY75" s="5">
        <f>IF(AX75&lt;0.149*M75+0.329,1,AX75/(0.149*M75+0.329))</f>
        <v>1</v>
      </c>
      <c r="AZ75" s="5">
        <f>IF(AW75*AY75&gt;AL75,(AW75*AY75-AL75)/4,0)</f>
        <v>3.5</v>
      </c>
      <c r="BA75" s="12">
        <f>0.401+0.1831*(2*AR75^2/(AH75+AP75+AZ75))-0.02016*(2*AR75^2/(AH75+AP75+AZ75))^2+0.0007472*(2*AR75^2/(AH75+AP75+AZ75))^3</f>
        <v>0.9478653169053071</v>
      </c>
      <c r="BB75" s="3"/>
      <c r="BC75" s="3"/>
      <c r="BD75" s="3"/>
      <c r="BE75" s="3"/>
      <c r="BF75" s="33">
        <v>150</v>
      </c>
      <c r="BG75" s="5">
        <f>IF(BF75=0,(BC75+BD75)*(BB75/12+BE75/3),BF75)</f>
        <v>150</v>
      </c>
      <c r="BH75" s="5">
        <f>IF(BG75*AY75&gt;AL75+AZ75,BG75*AY75-AL75-AZ75,0)</f>
        <v>92.5</v>
      </c>
      <c r="BI75" s="42">
        <f>IF(M75/1.6&lt;8,ROUND(M75/1.6,0),8)</f>
        <v>8</v>
      </c>
      <c r="BJ75" s="5">
        <f>(AH75+AP75+AZ75)*BA75+0.1*BH75</f>
        <v>133.5491908137868</v>
      </c>
      <c r="BK75" s="11">
        <v>2</v>
      </c>
      <c r="BL75" s="5">
        <f>M75*0.2</f>
        <v>2.88</v>
      </c>
      <c r="BM75" s="5">
        <f>ROUNDDOWN(M75/2.13,0)</f>
        <v>6</v>
      </c>
      <c r="BN75" s="12">
        <f>M75/4.26</f>
        <v>3.380281690140845</v>
      </c>
      <c r="BO75" s="5">
        <f>IF(M75&lt;8,1.22,IF(M75&lt;15.2,0.108333*M75+0.353,2))</f>
        <v>1.9129952</v>
      </c>
      <c r="BP75" s="12">
        <f>IF(BK75&lt;BO75,1+0.3*(BO75-BK75)/M75,1)</f>
        <v>1</v>
      </c>
      <c r="BQ75" s="39">
        <v>7</v>
      </c>
      <c r="BR75" s="39">
        <v>2</v>
      </c>
      <c r="BS75" s="36"/>
      <c r="BT75" t="s" s="24">
        <v>154</v>
      </c>
      <c r="BU75" s="36"/>
      <c r="BV75" s="5">
        <f>IF(BQ75&lt;(M75/0.3048)^0.5,1,IF(BU75="x",1-BR75*0.02,IF(BT75="x",1-BR75*0.01,1)))</f>
        <v>0.98</v>
      </c>
      <c r="BW75" s="12">
        <f>IF(K75="x",MIN(1.315,1.28+U75*N75/BJ75/AR75/1100),IF(L75="x",1.28,MAX(1.245,1.28-U75*N75/BJ75/AR75/1100)))</f>
        <v>1.245</v>
      </c>
      <c r="BX75" s="41">
        <f>BW75*T75*BV75*BP75*N75^0.3*BJ75^0.4/V75^0.325</f>
        <v>0.9668197181311367</v>
      </c>
      <c r="BY75" s="29"/>
      <c r="BZ75" s="29"/>
      <c r="CA75" t="s" s="19">
        <v>188</v>
      </c>
      <c r="CB75" t="s" s="19">
        <v>321</v>
      </c>
      <c r="CC75" t="s" s="19">
        <v>614</v>
      </c>
      <c r="CD75" t="s" s="19">
        <v>615</v>
      </c>
      <c r="CE75" s="3"/>
      <c r="CF75" s="3"/>
      <c r="CG75" t="s" s="30">
        <f>A75</f>
        <v>616</v>
      </c>
    </row>
    <row r="76" ht="12.75" customHeight="1">
      <c r="A76" t="s" s="25">
        <v>617</v>
      </c>
      <c r="B76" t="s" s="19">
        <v>618</v>
      </c>
      <c r="C76" t="s" s="19">
        <v>547</v>
      </c>
      <c r="D76" t="s" s="19">
        <v>345</v>
      </c>
      <c r="E76" t="s" s="19">
        <v>619</v>
      </c>
      <c r="F76" t="s" s="19">
        <v>620</v>
      </c>
      <c r="G76" t="s" s="19">
        <v>621</v>
      </c>
      <c r="H76" s="32"/>
      <c r="I76" s="32"/>
      <c r="J76" s="36"/>
      <c r="K76" t="s" s="24">
        <v>154</v>
      </c>
      <c r="L76" s="36"/>
      <c r="M76" s="11">
        <v>7.4</v>
      </c>
      <c r="N76" s="5">
        <v>7.32</v>
      </c>
      <c r="O76" s="11">
        <v>5.5</v>
      </c>
      <c r="P76" s="11"/>
      <c r="Q76" s="37"/>
      <c r="R76" t="s" s="24">
        <v>622</v>
      </c>
      <c r="S76" s="36"/>
      <c r="T76" s="38">
        <f>IF(S76&gt;0,1.048,IF(R76&gt;0,1.048,IF(Q76&gt;0,1.036,0.907+1.55*(P76/N76)-4.449*(P76/N76)^2)))</f>
        <v>1.048</v>
      </c>
      <c r="U76" s="39">
        <v>920</v>
      </c>
      <c r="V76" s="40">
        <f>IF(H76="x",75+U76,IF(M76&lt;6.66,150+U76,-1.7384*M76^2+92.38*M76-388+U76))</f>
        <v>1120.417216</v>
      </c>
      <c r="W76" s="5"/>
      <c r="X76" s="5"/>
      <c r="Y76" s="5"/>
      <c r="Z76" s="5"/>
      <c r="AA76" s="5"/>
      <c r="AB76" s="5"/>
      <c r="AC76" s="5">
        <v>9.84</v>
      </c>
      <c r="AD76" s="33">
        <v>24.4</v>
      </c>
      <c r="AE76" s="5">
        <f>IF(AD76=0,(W76+4*X76+2*Y76+4*Z76+AA76)*AC76/12+W76*AB76/1.5,AD76)</f>
        <v>24.4</v>
      </c>
      <c r="AF76" s="11">
        <v>10.55</v>
      </c>
      <c r="AG76" s="11">
        <v>0.48</v>
      </c>
      <c r="AH76" s="5">
        <f>IF(AC76=0,AE76+AF76*AG76/2,AE76+AC76*AG76/2)</f>
        <v>26.7616</v>
      </c>
      <c r="AI76" s="5">
        <v>8.99</v>
      </c>
      <c r="AJ76" s="3"/>
      <c r="AK76" s="33">
        <v>13.3</v>
      </c>
      <c r="AL76" s="5">
        <f>IF(AK76=0,AI76*AJ76/2,AK76)</f>
        <v>13.3</v>
      </c>
      <c r="AM76" t="s" s="19">
        <v>154</v>
      </c>
      <c r="AN76" s="5"/>
      <c r="AO76" s="5"/>
      <c r="AP76" s="5">
        <f>AL76+AI76*(AN76-AO76)/2</f>
        <v>13.3</v>
      </c>
      <c r="AQ76" s="5">
        <f>0.1*(AE76+AL76)</f>
        <v>3.77</v>
      </c>
      <c r="AR76" s="11">
        <v>10.84</v>
      </c>
      <c r="AS76" s="11"/>
      <c r="AT76" s="11"/>
      <c r="AU76" s="11"/>
      <c r="AV76" s="33">
        <v>24.33</v>
      </c>
      <c r="AW76" s="5">
        <f>IF(AV76=0,AS76/6*(AT76+AU76*4),AV76)</f>
        <v>24.33</v>
      </c>
      <c r="AX76" s="11">
        <v>1.8</v>
      </c>
      <c r="AY76" s="5">
        <f>IF(AX76&lt;0.149*M76+0.329,1,AX76/(0.149*M76+0.329))</f>
        <v>1.257334450963956</v>
      </c>
      <c r="AZ76" s="5">
        <f>IF(AW76*AY76&gt;AL76,(AW76*AY76-AL76)/4,0)</f>
        <v>4.322736797988264</v>
      </c>
      <c r="BA76" s="12">
        <f>0.401+0.1831*(2*AR76^2/(AH76+AP76+AZ76))-0.02016*(2*AR76^2/(AH76+AP76+AZ76))^2+0.0007472*(2*AR76^2/(AH76+AP76+AZ76))^3</f>
        <v>0.9162116096952541</v>
      </c>
      <c r="BB76" s="3"/>
      <c r="BC76" s="3"/>
      <c r="BD76" s="3"/>
      <c r="BE76" s="3"/>
      <c r="BF76" s="33">
        <v>57.6</v>
      </c>
      <c r="BG76" s="5">
        <f>IF(BF76=0,(BC76+BD76)*(BB76/12+BE76/3),BF76)</f>
        <v>57.6</v>
      </c>
      <c r="BH76" s="5">
        <f>IF(BG76*AY76&gt;AL76+AZ76,BG76*AY76-AL76-AZ76,0)</f>
        <v>54.79972757753563</v>
      </c>
      <c r="BI76" s="5">
        <f>IF(M76/1.6&lt;8,ROUND(M76/1.6,0),8)</f>
        <v>5</v>
      </c>
      <c r="BJ76" s="5">
        <f>(AH76+AP76+AZ76)*BA76+0.1*BH76</f>
        <v>46.14541742069469</v>
      </c>
      <c r="BK76" s="11">
        <v>1.6</v>
      </c>
      <c r="BL76" s="5">
        <f>M76*0.2</f>
        <v>1.48</v>
      </c>
      <c r="BM76" s="5">
        <f>ROUNDDOWN(M76/2.13,0)</f>
        <v>3</v>
      </c>
      <c r="BN76" s="12">
        <f>M76/4.26</f>
        <v>1.737089201877934</v>
      </c>
      <c r="BO76" s="5">
        <f>IF(M76&lt;8,1.22,IF(M76&lt;15.2,0.108333*M76+0.353,2))</f>
        <v>1.22</v>
      </c>
      <c r="BP76" s="12">
        <f>IF(BK76&lt;BO76,1+0.3*(BO76-BK76)/M76,1)</f>
        <v>1</v>
      </c>
      <c r="BQ76" s="39">
        <v>5</v>
      </c>
      <c r="BR76" s="32"/>
      <c r="BS76" t="s" s="24">
        <v>154</v>
      </c>
      <c r="BT76" s="36"/>
      <c r="BU76" s="36"/>
      <c r="BV76" s="5">
        <f>IF(BQ76&lt;(M76/0.3048)^0.5,1,IF(BU76="x",1-BR76*0.02,IF(BT76="x",1-BR76*0.01,1)))</f>
        <v>1</v>
      </c>
      <c r="BW76" s="12">
        <f>IF(K76="x",MIN(1.315,1.28+U76*N76/BJ76/AR76/1100),IF(L76="x",1.28,MAX(1.245,1.28-U76*N76/BJ76/AR76/1100)))</f>
        <v>1.292239068407326</v>
      </c>
      <c r="BX76" s="41">
        <f>BW76*T76*BV76*BP76*N76^0.3*BJ76^0.4/V76^0.325</f>
        <v>1.163216299595109</v>
      </c>
      <c r="BY76" s="29"/>
      <c r="BZ76" s="29"/>
      <c r="CA76" t="s" s="19">
        <v>346</v>
      </c>
      <c r="CB76" t="s" s="19">
        <v>623</v>
      </c>
      <c r="CC76" t="s" s="19">
        <v>624</v>
      </c>
      <c r="CD76" s="3"/>
      <c r="CE76" s="3"/>
      <c r="CF76" s="3"/>
      <c r="CG76" t="s" s="30">
        <f>A76</f>
        <v>625</v>
      </c>
    </row>
    <row r="77" ht="12.75" customHeight="1">
      <c r="A77" t="s" s="25">
        <v>626</v>
      </c>
      <c r="B77" t="s" s="19">
        <v>627</v>
      </c>
      <c r="C77" t="s" s="19">
        <v>628</v>
      </c>
      <c r="D77" t="s" s="19">
        <v>525</v>
      </c>
      <c r="E77" t="s" s="19">
        <v>629</v>
      </c>
      <c r="F77" t="s" s="19">
        <v>630</v>
      </c>
      <c r="G77" t="s" s="19">
        <v>631</v>
      </c>
      <c r="H77" s="32"/>
      <c r="I77" s="32"/>
      <c r="J77" s="36"/>
      <c r="K77" t="s" s="24">
        <v>154</v>
      </c>
      <c r="L77" s="36"/>
      <c r="M77" s="11">
        <v>15.24</v>
      </c>
      <c r="N77" s="5">
        <v>15.24</v>
      </c>
      <c r="O77" s="11">
        <v>14.8</v>
      </c>
      <c r="P77" s="11"/>
      <c r="Q77" s="37"/>
      <c r="R77" s="43">
        <v>3.491</v>
      </c>
      <c r="S77" s="36"/>
      <c r="T77" s="38">
        <f>IF(S77&gt;0,1.048,IF(R77&gt;0,1.048,IF(Q77&gt;0,1.036,0.907+1.55*(P77/N77)-4.449*(P77/N77)^2)))</f>
        <v>1.048</v>
      </c>
      <c r="U77" s="39">
        <v>4400</v>
      </c>
      <c r="V77" s="40">
        <f>IF(H77="x",75+U77,IF(M77&lt;6.66,150+U77,-1.7384*M77^2+92.38*M77-388+U77))</f>
        <v>5016.11458816</v>
      </c>
      <c r="W77" s="5"/>
      <c r="X77" s="5"/>
      <c r="Y77" s="5"/>
      <c r="Z77" s="5"/>
      <c r="AA77" s="5"/>
      <c r="AB77" s="5"/>
      <c r="AC77" s="5"/>
      <c r="AD77" s="33">
        <v>105</v>
      </c>
      <c r="AE77" s="5">
        <f>IF(AD77=0,(W77+4*X77+2*Y77+4*Z77+AA77)*AC77/12+W77*AB77/1.5,AD77)</f>
        <v>105</v>
      </c>
      <c r="AF77" s="11">
        <v>21.9</v>
      </c>
      <c r="AG77" s="11">
        <v>1.1</v>
      </c>
      <c r="AH77" s="5">
        <f>IF(AC77=0,AE77+AF77*AG77/2,AE77+AC77*AG77/2)</f>
        <v>117.045</v>
      </c>
      <c r="AI77" s="5">
        <v>20.5</v>
      </c>
      <c r="AJ77" s="3"/>
      <c r="AK77" s="33">
        <v>65</v>
      </c>
      <c r="AL77" s="5">
        <f>IF(AK77=0,AI77*AJ77/2,AK77)</f>
        <v>65</v>
      </c>
      <c r="AM77" s="3"/>
      <c r="AN77" s="5">
        <v>0.04</v>
      </c>
      <c r="AO77" s="5"/>
      <c r="AP77" s="5">
        <f>AL77+AI77*(AN77-AO77)/2</f>
        <v>65.41</v>
      </c>
      <c r="AQ77" s="5">
        <f>0.1*(AE77+AL77)</f>
        <v>17</v>
      </c>
      <c r="AR77" s="11">
        <v>22.2</v>
      </c>
      <c r="AS77" s="11"/>
      <c r="AT77" s="11"/>
      <c r="AU77" s="11"/>
      <c r="AV77" s="33">
        <v>150</v>
      </c>
      <c r="AW77" s="5">
        <f>IF(AV77=0,AS77/6*(AT77+AU77*4),AV77)</f>
        <v>150</v>
      </c>
      <c r="AX77" s="11">
        <v>1.95</v>
      </c>
      <c r="AY77" s="5">
        <f>IF(AX77&lt;0.149*M77+0.329,1,AX77/(0.149*M77+0.329))</f>
        <v>1</v>
      </c>
      <c r="AZ77" s="5">
        <f>IF(AW77*AY77&gt;AL77,(AW77*AY77-AL77)/4,0)</f>
        <v>21.25</v>
      </c>
      <c r="BA77" s="12">
        <f>0.401+0.1831*(2*AR77^2/(AH77+AP77+AZ77))-0.02016*(2*AR77^2/(AH77+AP77+AZ77))^2+0.0007472*(2*AR77^2/(AH77+AP77+AZ77))^3</f>
        <v>0.8996112593851568</v>
      </c>
      <c r="BB77" s="3"/>
      <c r="BC77" s="3"/>
      <c r="BD77" s="3"/>
      <c r="BE77" s="3"/>
      <c r="BF77" s="33"/>
      <c r="BG77" s="5">
        <f>IF(BF77=0,(BC77+BD77)*(BB77/12+BE77/3),BF77)</f>
        <v>0</v>
      </c>
      <c r="BH77" s="5">
        <f>IF(BG77*AY77&gt;AL77+AZ77,BG77*AY77-AL77-AZ77,0)</f>
        <v>0</v>
      </c>
      <c r="BI77" s="42">
        <f>IF(M77/1.6&lt;8,ROUND(M77/1.6,0),8)</f>
        <v>8</v>
      </c>
      <c r="BJ77" s="5">
        <f>(AH77+AP77+AZ77)*BA77+0.1*BH77</f>
        <v>183.2553115930534</v>
      </c>
      <c r="BK77" s="11">
        <v>1.95</v>
      </c>
      <c r="BL77" s="5">
        <f>M77*0.2</f>
        <v>3.048</v>
      </c>
      <c r="BM77" s="5">
        <f>ROUNDDOWN(M77/2.13,0)</f>
        <v>7</v>
      </c>
      <c r="BN77" s="12">
        <f>M77/4.26</f>
        <v>3.577464788732394</v>
      </c>
      <c r="BO77" s="5">
        <f>IF(M77&lt;8,1.22,IF(M77&lt;15.2,0.108333*M77+0.353,2))</f>
        <v>2</v>
      </c>
      <c r="BP77" s="12">
        <f>IF(BK77&lt;BO77,1+0.3*(BO77-BK77)/M77,1)</f>
        <v>1.000984251968504</v>
      </c>
      <c r="BQ77" s="39">
        <v>4</v>
      </c>
      <c r="BR77" s="39">
        <v>1</v>
      </c>
      <c r="BS77" s="36"/>
      <c r="BT77" t="s" s="24">
        <v>154</v>
      </c>
      <c r="BU77" s="36"/>
      <c r="BV77" s="5">
        <f>IF(BQ77&lt;(M77/0.3048)^0.5,1,IF(BU77="x",1-BR77*0.02,IF(BT77="x",1-BR77*0.01,1)))</f>
        <v>1</v>
      </c>
      <c r="BW77" s="12">
        <f>IF(K77="x",MIN(1.315,1.28+U77*N77/BJ77/AR77/1100),IF(L77="x",1.28,MAX(1.245,1.28-U77*N77/BJ77/AR77/1100)))</f>
        <v>1.294984263877948</v>
      </c>
      <c r="BX77" s="41">
        <f>BW77*T77*BV77*BP77*N77^0.3*BJ77^0.4/V77^0.325</f>
        <v>1.550785445661577</v>
      </c>
      <c r="BY77" s="29"/>
      <c r="BZ77" s="29"/>
      <c r="CA77" t="s" s="19">
        <v>632</v>
      </c>
      <c r="CB77" s="42">
        <v>2008</v>
      </c>
      <c r="CC77" t="s" s="19">
        <v>633</v>
      </c>
      <c r="CD77" s="3"/>
      <c r="CE77" s="3"/>
      <c r="CF77" s="3"/>
      <c r="CG77" t="s" s="30">
        <f>A77</f>
        <v>634</v>
      </c>
    </row>
    <row r="78" ht="12.75" customHeight="1">
      <c r="A78" t="s" s="30">
        <v>635</v>
      </c>
      <c r="B78" t="s" s="31">
        <v>325</v>
      </c>
      <c r="C78" t="s" s="19">
        <v>636</v>
      </c>
      <c r="D78" s="3"/>
      <c r="E78" t="s" s="19">
        <v>637</v>
      </c>
      <c r="F78" s="4"/>
      <c r="G78" s="4"/>
      <c r="H78" s="32"/>
      <c r="I78" s="32"/>
      <c r="J78" t="s" s="24">
        <v>154</v>
      </c>
      <c r="K78" s="32"/>
      <c r="L78" s="32"/>
      <c r="M78" s="11">
        <v>15.86</v>
      </c>
      <c r="N78" s="15">
        <v>15.86</v>
      </c>
      <c r="O78" s="11">
        <v>8.4</v>
      </c>
      <c r="P78" s="11"/>
      <c r="Q78" s="11"/>
      <c r="R78" s="43">
        <v>2.1</v>
      </c>
      <c r="S78" s="32"/>
      <c r="T78" s="38">
        <f>IF(S78&gt;0,1.048,IF(R78&gt;0,1.048,IF(Q78&gt;0,1.036,0.907+1.55*(P78/N78)-4.449*(P78/N78)^2)))</f>
        <v>1.048</v>
      </c>
      <c r="U78" s="39">
        <v>5500</v>
      </c>
      <c r="V78" s="45">
        <f>IF(H78="x",75+U78,IF(M78&lt;6.66,150+U78,-1.7384*M78^2+92.38*M78-388+U78))</f>
        <v>6139.87035936</v>
      </c>
      <c r="W78" s="11"/>
      <c r="X78" s="11"/>
      <c r="Y78" s="11"/>
      <c r="Z78" s="11"/>
      <c r="AA78" s="11"/>
      <c r="AB78" s="11"/>
      <c r="AC78" s="11"/>
      <c r="AD78" s="33">
        <v>75</v>
      </c>
      <c r="AE78" s="5">
        <f>IF(AD78=0,(W78+4*X78+2*Y78+4*Z78+AA78)*AC78/12+W78*AB78/1.5,AD78)</f>
        <v>75</v>
      </c>
      <c r="AF78" s="11">
        <v>18.4</v>
      </c>
      <c r="AG78" s="11"/>
      <c r="AH78" s="5">
        <f>IF(AC78=0,AE78+AF78*AG78/2,AE78+AC78*AG78/2)</f>
        <v>75</v>
      </c>
      <c r="AI78" s="11"/>
      <c r="AJ78" s="11"/>
      <c r="AK78" s="33">
        <v>32</v>
      </c>
      <c r="AL78" s="5">
        <f>IF(AK78=0,AI78*AJ78/2,AK78)</f>
        <v>32</v>
      </c>
      <c r="AM78" s="32"/>
      <c r="AN78" s="11"/>
      <c r="AO78" s="11"/>
      <c r="AP78" s="5">
        <f>AL78+AI78*(AN78-AO78)/2</f>
        <v>32</v>
      </c>
      <c r="AQ78" s="5">
        <f>0.1*(AE78+AL78)</f>
        <v>10.7</v>
      </c>
      <c r="AR78" s="11">
        <v>18.4</v>
      </c>
      <c r="AS78" s="11"/>
      <c r="AT78" s="11"/>
      <c r="AU78" s="11"/>
      <c r="AV78" s="33"/>
      <c r="AW78" s="5">
        <f>IF(AV78=0,AS78/6*(AT78+AU78*4),AV78)</f>
        <v>0</v>
      </c>
      <c r="AX78" s="11"/>
      <c r="AY78" s="5">
        <f>IF(AX78&lt;0.149*M78+0.329,1,AX78/(0.149*M78+0.329))</f>
        <v>1</v>
      </c>
      <c r="AZ78" s="5">
        <f>IF(AW78*AY78&gt;AL78,(AW78*AY78-AL78)/4,0)</f>
        <v>0</v>
      </c>
      <c r="BA78" s="12">
        <f>0.401+0.1831*(2*AR78^2/(AH78+AP78+AZ78))-0.02016*(2*AR78^2/(AH78+AP78+AZ78))^2+0.0007472*(2*AR78^2/(AH78+AP78+AZ78))^3</f>
        <v>0.9417194615324043</v>
      </c>
      <c r="BB78" s="11"/>
      <c r="BC78" s="11"/>
      <c r="BD78" s="11"/>
      <c r="BE78" s="11"/>
      <c r="BF78" s="33"/>
      <c r="BG78" s="5">
        <f>IF(BF78=0,(BC78+BD78)*(BB78/12+BE78/3),BF78)</f>
        <v>0</v>
      </c>
      <c r="BH78" s="5">
        <f>IF(BG78*AY78&gt;AL78+AZ78,BG78*AY78-AL78-AZ78,0)</f>
        <v>0</v>
      </c>
      <c r="BI78" s="5">
        <f>IF(M1/1.6&lt;8,ROUND(M1/1.6,0),8)</f>
        <v>0</v>
      </c>
      <c r="BJ78" s="15">
        <f>(AH78+AP78+AZ78)*BA78+0.1*BH78</f>
        <v>100.7639823839673</v>
      </c>
      <c r="BK78" s="11">
        <v>1.82</v>
      </c>
      <c r="BL78" s="5">
        <f>M78*0.2</f>
        <v>3.172</v>
      </c>
      <c r="BM78" s="5">
        <f>ROUNDDOWN(M78/2.13,0)</f>
        <v>7</v>
      </c>
      <c r="BN78" s="12">
        <f>M78/4.26</f>
        <v>3.723004694835681</v>
      </c>
      <c r="BO78" s="5">
        <f>IF(M78&lt;8,1.22,IF(M78&lt;15.2,0.108333*M78+0.353,2))</f>
        <v>2</v>
      </c>
      <c r="BP78" s="7">
        <f>IF(BK78&lt;BO78,1+0.3*(BO78-BK78)/M78,1)</f>
        <v>1.003404791929382</v>
      </c>
      <c r="BQ78" s="39">
        <v>7</v>
      </c>
      <c r="BR78" s="39">
        <v>2</v>
      </c>
      <c r="BS78" s="32"/>
      <c r="BT78" t="s" s="20">
        <v>154</v>
      </c>
      <c r="BU78" s="32"/>
      <c r="BV78" s="15">
        <f>IF(BQ78&lt;(M78/0.3048)^0.5,1,IF(BU78="x",1-BR78*0.02,IF(BT78="x",1-BR78*0.01,1)))</f>
        <v>1</v>
      </c>
      <c r="BW78" s="7">
        <f>IF(K78="x",MIN(1.315,1.28+U78*N78/BJ78/AR78/1100),IF(L78="x",1.28,MAX(1.245,1.28-U78*N78/BJ78/AR78/1100)))</f>
        <v>1.245</v>
      </c>
      <c r="BX78" s="41">
        <f>BW78*T78*BV78*BP78*N78^0.3*BJ78^0.4/V78^0.325</f>
        <v>1.114982750489738</v>
      </c>
      <c r="BY78" s="29"/>
      <c r="BZ78" s="29"/>
      <c r="CA78" t="s" s="31">
        <v>638</v>
      </c>
      <c r="CB78" t="s" s="31">
        <v>639</v>
      </c>
      <c r="CC78" t="s" s="13">
        <v>93</v>
      </c>
      <c r="CD78" t="s" s="19">
        <v>640</v>
      </c>
      <c r="CE78" s="3"/>
      <c r="CF78" s="3"/>
      <c r="CG78" t="s" s="30">
        <f>A78</f>
        <v>641</v>
      </c>
    </row>
    <row r="79" ht="12.75" customHeight="1">
      <c r="A79" t="s" s="25">
        <v>642</v>
      </c>
      <c r="B79" t="s" s="19">
        <v>507</v>
      </c>
      <c r="C79" t="s" s="19">
        <v>344</v>
      </c>
      <c r="D79" t="s" s="19">
        <v>345</v>
      </c>
      <c r="E79" t="s" s="19">
        <v>643</v>
      </c>
      <c r="F79" t="s" s="19">
        <v>644</v>
      </c>
      <c r="G79" t="s" s="19">
        <v>645</v>
      </c>
      <c r="H79" s="32"/>
      <c r="I79" s="32"/>
      <c r="J79" s="36"/>
      <c r="K79" t="s" s="24">
        <v>154</v>
      </c>
      <c r="L79" s="36"/>
      <c r="M79" s="11">
        <v>8.66</v>
      </c>
      <c r="N79" s="5">
        <f>(8.66+8)/2</f>
        <v>8.33</v>
      </c>
      <c r="O79" s="11">
        <v>6.1</v>
      </c>
      <c r="P79" s="11"/>
      <c r="Q79" s="37"/>
      <c r="R79" t="s" s="24">
        <v>646</v>
      </c>
      <c r="S79" s="36"/>
      <c r="T79" s="38">
        <f>IF(S79&gt;0,1.048,IF(R79&gt;0,1.048,IF(Q79&gt;0,1.036,0.907+1.55*(P79/N79)-4.449*(P79/N79)^2)))</f>
        <v>1.048</v>
      </c>
      <c r="U79" s="39">
        <v>1400</v>
      </c>
      <c r="V79" s="40">
        <f>IF(H79="x",75+U79,IF(M79&lt;6.66,150+U79,-1.7384*M79^2+92.38*M79-388+U79))</f>
        <v>1681.63844896</v>
      </c>
      <c r="W79" s="5">
        <v>3.6</v>
      </c>
      <c r="X79" s="5">
        <v>3.47</v>
      </c>
      <c r="Y79" s="5">
        <v>2.97</v>
      </c>
      <c r="Z79" s="5">
        <v>2.04</v>
      </c>
      <c r="AA79" s="5">
        <v>0.8</v>
      </c>
      <c r="AB79" s="5">
        <v>0.09</v>
      </c>
      <c r="AC79" s="5">
        <v>10.91</v>
      </c>
      <c r="AD79" s="33">
        <v>28.9</v>
      </c>
      <c r="AE79" s="5">
        <f>IF(AD79=0,(W79+4*X79+2*Y79+4*Z79+AA79)*AC79/12+W79*AB79/1.5,AD79)</f>
        <v>28.9</v>
      </c>
      <c r="AF79" s="11">
        <v>11.22</v>
      </c>
      <c r="AG79" s="11">
        <v>0.48</v>
      </c>
      <c r="AH79" s="5">
        <f>IF(AC79=0,AE79+AF79*AG79/2,AE79+AC79*AG79/2)</f>
        <v>31.5184</v>
      </c>
      <c r="AI79" s="5">
        <v>9.175000000000001</v>
      </c>
      <c r="AJ79" s="3"/>
      <c r="AK79" s="33">
        <v>16.3</v>
      </c>
      <c r="AL79" s="5">
        <f>IF(AK79=0,AI79*AJ79/2,AK79)</f>
        <v>16.3</v>
      </c>
      <c r="AM79" t="s" s="19">
        <v>154</v>
      </c>
      <c r="AN79" s="5"/>
      <c r="AO79" s="5"/>
      <c r="AP79" s="5">
        <f>AL79+AI79*(AN79-AO79)/2</f>
        <v>16.3</v>
      </c>
      <c r="AQ79" s="5">
        <f>0.1*(AE79+AL79)</f>
        <v>4.52</v>
      </c>
      <c r="AR79" s="11">
        <v>12.59</v>
      </c>
      <c r="AS79" s="11"/>
      <c r="AT79" s="11"/>
      <c r="AU79" s="11"/>
      <c r="AV79" s="33">
        <v>33.3</v>
      </c>
      <c r="AW79" s="5">
        <f>IF(AV79=0,AS79/6*(AT79+AU79*4),AV79)</f>
        <v>33.3</v>
      </c>
      <c r="AX79" s="11">
        <v>1.8</v>
      </c>
      <c r="AY79" s="5">
        <f>IF(AX79&lt;0.149*M79+0.329,1,AX79/(0.149*M79+0.329))</f>
        <v>1.111563970506503</v>
      </c>
      <c r="AZ79" s="5">
        <f>IF(AW79*AY79&gt;AL79,(AW79*AY79-AL79)/4,0)</f>
        <v>5.178770054466633</v>
      </c>
      <c r="BA79" s="12">
        <f>0.401+0.1831*(2*AR79^2/(AH79+AP79+AZ79))-0.02016*(2*AR79^2/(AH79+AP79+AZ79))^2+0.0007472*(2*AR79^2/(AH79+AP79+AZ79))^3</f>
        <v>0.9348338520797272</v>
      </c>
      <c r="BB79" s="3"/>
      <c r="BC79" s="3"/>
      <c r="BD79" s="3"/>
      <c r="BE79" s="3"/>
      <c r="BF79" s="33">
        <v>72.5</v>
      </c>
      <c r="BG79" s="5">
        <f>IF(BF79=0,(BC79+BD79)*(BB79/12+BE79/3),BF79)</f>
        <v>72.5</v>
      </c>
      <c r="BH79" s="5">
        <f>IF(BG79*AY79&gt;AL79+AZ79,BG79*AY79-AL79-AZ79,0)</f>
        <v>59.10961780725481</v>
      </c>
      <c r="BI79" s="5">
        <f>IF(M79/1.6&lt;8,ROUND(M79/1.6,0),8)</f>
        <v>5</v>
      </c>
      <c r="BJ79" s="5">
        <f>(AH79+AP79+AZ79)*BA79+0.1*BH79</f>
        <v>55.45451041206689</v>
      </c>
      <c r="BK79" s="11">
        <v>1.65</v>
      </c>
      <c r="BL79" s="5">
        <f>M79*0.2</f>
        <v>1.732</v>
      </c>
      <c r="BM79" s="5">
        <f>ROUNDDOWN(M79/2.13,0)</f>
        <v>4</v>
      </c>
      <c r="BN79" s="12">
        <f>M79/4.26</f>
        <v>2.032863849765258</v>
      </c>
      <c r="BO79" s="5">
        <f>IF(M79&lt;8,1.22,IF(M79&lt;15.2,0.108333*M79+0.353,2))</f>
        <v>1.29116378</v>
      </c>
      <c r="BP79" s="12">
        <f>IF(BK79&lt;BO79,1+0.3*(BO79-BK79)/M79,1)</f>
        <v>1</v>
      </c>
      <c r="BQ79" s="39">
        <v>4.5</v>
      </c>
      <c r="BR79" s="32"/>
      <c r="BS79" t="s" s="24">
        <v>154</v>
      </c>
      <c r="BT79" s="36"/>
      <c r="BU79" s="36"/>
      <c r="BV79" s="5">
        <f>IF(BQ79&lt;(M79/0.3048)^0.5,1,IF(BU79="x",1-BR79*0.02,IF(BT79="x",1-BR79*0.01,1)))</f>
        <v>1</v>
      </c>
      <c r="BW79" s="12">
        <f>IF(K79="x",MIN(1.315,1.28+U79*N79/BJ79/AR79/1100),IF(L79="x",1.28,MAX(1.245,1.28-U79*N79/BJ79/AR79/1100)))</f>
        <v>1.295185103151578</v>
      </c>
      <c r="BX79" s="41">
        <f>BW79*T79*BV79*BP79*N79^0.3*BJ79^0.4/V79^0.325</f>
        <v>1.143136967877811</v>
      </c>
      <c r="BY79" s="29"/>
      <c r="BZ79" s="29"/>
      <c r="CA79" t="s" s="19">
        <v>188</v>
      </c>
      <c r="CB79" s="42">
        <v>2008</v>
      </c>
      <c r="CC79" t="s" s="19">
        <v>647</v>
      </c>
      <c r="CD79" s="3"/>
      <c r="CE79" s="3"/>
      <c r="CF79" s="3"/>
      <c r="CG79" t="s" s="30">
        <f>A79</f>
        <v>648</v>
      </c>
    </row>
    <row r="80" ht="12.75" customHeight="1">
      <c r="A80" t="s" s="25">
        <v>649</v>
      </c>
      <c r="B80" t="s" s="19">
        <v>650</v>
      </c>
      <c r="C80" t="s" s="19">
        <v>651</v>
      </c>
      <c r="D80" t="s" s="19">
        <v>652</v>
      </c>
      <c r="E80" s="3"/>
      <c r="F80" s="3"/>
      <c r="G80" s="3"/>
      <c r="H80" s="32"/>
      <c r="I80" s="32"/>
      <c r="J80" t="s" s="24">
        <v>154</v>
      </c>
      <c r="K80" s="36"/>
      <c r="L80" s="36"/>
      <c r="M80" s="11">
        <v>8.35</v>
      </c>
      <c r="N80" s="5">
        <v>7.925</v>
      </c>
      <c r="O80" s="11">
        <v>4.35</v>
      </c>
      <c r="P80" s="11">
        <v>0.6</v>
      </c>
      <c r="Q80" s="37"/>
      <c r="R80" s="36"/>
      <c r="S80" s="36"/>
      <c r="T80" s="38">
        <f>IF(S80&gt;0,1.048,IF(R80&gt;0,1.048,IF(Q80&gt;0,1.036,0.907+1.55*(P80/N80)-4.449*(P80/N80)^2)))</f>
        <v>0.9988486202469922</v>
      </c>
      <c r="U80" s="39">
        <v>1050</v>
      </c>
      <c r="V80" s="40">
        <f>IF(H80="x",75+U80,IF(M80&lt;6.66,150+U80,-1.7384*M80^2+92.38*M80-388+U80))</f>
        <v>1312.167406</v>
      </c>
      <c r="W80" s="5"/>
      <c r="X80" s="5"/>
      <c r="Y80" s="5"/>
      <c r="Z80" s="5"/>
      <c r="AA80" s="5"/>
      <c r="AB80" s="5"/>
      <c r="AC80" s="5">
        <v>9.4</v>
      </c>
      <c r="AD80" s="33">
        <v>21.06</v>
      </c>
      <c r="AE80" s="5">
        <f>IF(AD80=0,(W80+4*X80+2*Y80+4*Z80+AA80)*AC80/12+W80*AB80/1.5,AD80)</f>
        <v>21.06</v>
      </c>
      <c r="AF80" s="11">
        <v>10</v>
      </c>
      <c r="AG80" s="11"/>
      <c r="AH80" s="5">
        <f>IF(AC80=0,AE80+AF80*AG80/2,AE80+AC80*AG80/2)</f>
        <v>21.06</v>
      </c>
      <c r="AI80" s="5">
        <v>9.4</v>
      </c>
      <c r="AJ80" s="3"/>
      <c r="AK80" s="33">
        <v>17.34</v>
      </c>
      <c r="AL80" s="5">
        <f>IF(AK80=0,AI80*AJ80/2,AK80)</f>
        <v>17.34</v>
      </c>
      <c r="AM80" s="3"/>
      <c r="AN80" s="5"/>
      <c r="AO80" s="5"/>
      <c r="AP80" s="5">
        <f>AL80+AI80*(AN80-AO80)/2</f>
        <v>17.34</v>
      </c>
      <c r="AQ80" s="5">
        <f>0.1*(AE80+AL80)</f>
        <v>3.84</v>
      </c>
      <c r="AR80" s="11">
        <v>9.57</v>
      </c>
      <c r="AS80" s="11"/>
      <c r="AT80" s="11"/>
      <c r="AU80" s="11"/>
      <c r="AV80" s="33">
        <v>24.11</v>
      </c>
      <c r="AW80" s="5">
        <f>IF(AV80=0,AS80/6*(AT80+AU80*4),AV80)</f>
        <v>24.11</v>
      </c>
      <c r="AX80" s="11">
        <v>0</v>
      </c>
      <c r="AY80" s="5">
        <f>IF(AX80&lt;0.149*M80+0.329,1,AX80/(0.149*M80+0.329))</f>
        <v>1</v>
      </c>
      <c r="AZ80" s="5">
        <f>IF(AW80*AY80&gt;AL80,(AW80*AY80-AL80)/4,0)</f>
        <v>1.6925</v>
      </c>
      <c r="BA80" s="12">
        <f>0.401+0.1831*(2*AR80^2/(AH80+AP80+AZ80))-0.02016*(2*AR80^2/(AH80+AP80+AZ80))^2+0.0007472*(2*AR80^2/(AH80+AP80+AZ80))^3</f>
        <v>0.8879828847730956</v>
      </c>
      <c r="BB80" s="3"/>
      <c r="BC80" s="3"/>
      <c r="BD80" s="3"/>
      <c r="BE80" s="3"/>
      <c r="BF80" s="33">
        <v>26</v>
      </c>
      <c r="BG80" s="5">
        <f>IF(BF80=0,(BC80+BD80)*(BB80/12+BE80/3),BF80)</f>
        <v>26</v>
      </c>
      <c r="BH80" s="5">
        <f>IF(BG80*AY80&gt;AL80+AZ80,BG80*AY80-AL80-AZ80,0)</f>
        <v>6.9675</v>
      </c>
      <c r="BI80" s="5">
        <f>IF(M80/1.6&lt;8,ROUND(M80/1.6,0),8)</f>
        <v>5</v>
      </c>
      <c r="BJ80" s="5">
        <f>(AH80+AP80+AZ80)*BA80+0.1*BH80</f>
        <v>36.29820380776534</v>
      </c>
      <c r="BK80" s="11">
        <v>1.63</v>
      </c>
      <c r="BL80" s="5">
        <f>M80*0.2</f>
        <v>1.67</v>
      </c>
      <c r="BM80" s="5">
        <f>ROUNDDOWN(M80/2.13,0)</f>
        <v>3</v>
      </c>
      <c r="BN80" s="12">
        <f>M80/4.26</f>
        <v>1.960093896713615</v>
      </c>
      <c r="BO80" s="5">
        <f>IF(M80&lt;8,1.22,IF(M80&lt;15.2,0.108333*M80+0.353,2))</f>
        <v>1.25758055</v>
      </c>
      <c r="BP80" s="12">
        <f>IF(BK80&lt;BO80,1+0.3*(BO80-BK80)/M80,1)</f>
        <v>1</v>
      </c>
      <c r="BQ80" s="39">
        <v>4.5</v>
      </c>
      <c r="BR80" s="32"/>
      <c r="BS80" t="s" s="24">
        <v>154</v>
      </c>
      <c r="BT80" s="36"/>
      <c r="BU80" s="36"/>
      <c r="BV80" s="5">
        <f>IF(BQ80&lt;(M80/0.3048)^0.5,1,IF(BU80="x",1-BR80*0.02,IF(BT80="x",1-BR80*0.01,1)))</f>
        <v>1</v>
      </c>
      <c r="BW80" s="12">
        <f>IF(K80="x",MIN(1.315,1.28+U80*N80/BJ80/AR80/1100),IF(L80="x",1.28,MAX(1.245,1.28-U80*N80/BJ80/AR80/1100)))</f>
        <v>1.258222961835597</v>
      </c>
      <c r="BX80" s="41">
        <f>BW80*T80*BV80*BP80*N80^0.3*BJ80^0.4/V80^0.325</f>
        <v>0.9540356661586994</v>
      </c>
      <c r="BY80" s="29"/>
      <c r="BZ80" s="29"/>
      <c r="CA80" t="s" s="19">
        <v>213</v>
      </c>
      <c r="CB80" t="s" s="19">
        <v>443</v>
      </c>
      <c r="CC80" t="s" s="19">
        <v>653</v>
      </c>
      <c r="CD80" s="3"/>
      <c r="CE80" s="3"/>
      <c r="CF80" s="3"/>
      <c r="CG80" t="s" s="30">
        <f>A80</f>
        <v>654</v>
      </c>
    </row>
    <row r="81" ht="12.75" customHeight="1">
      <c r="A81" t="s" s="25">
        <v>655</v>
      </c>
      <c r="B81" t="s" s="19">
        <v>656</v>
      </c>
      <c r="C81" t="s" s="19">
        <v>218</v>
      </c>
      <c r="D81" t="s" s="19">
        <v>219</v>
      </c>
      <c r="E81" t="s" s="19">
        <v>657</v>
      </c>
      <c r="F81" t="s" s="19">
        <v>658</v>
      </c>
      <c r="G81" s="3"/>
      <c r="H81" s="32"/>
      <c r="I81" s="32"/>
      <c r="J81" t="s" s="24">
        <v>154</v>
      </c>
      <c r="K81" s="36"/>
      <c r="L81" s="36"/>
      <c r="M81" s="11">
        <v>13.1</v>
      </c>
      <c r="N81" s="5">
        <v>13.1</v>
      </c>
      <c r="O81" s="11">
        <v>7</v>
      </c>
      <c r="P81" s="11"/>
      <c r="Q81" s="37"/>
      <c r="R81" t="s" s="24">
        <v>659</v>
      </c>
      <c r="S81" s="36"/>
      <c r="T81" s="38">
        <f>IF(S81&gt;0,1.048,IF(R81&gt;0,1.048,IF(Q81&gt;0,1.036,0.907+1.55*(P81/N81)-4.449*(P81/N81)^2)))</f>
        <v>1.048</v>
      </c>
      <c r="U81" s="39">
        <v>8500</v>
      </c>
      <c r="V81" s="40">
        <f>IF(H81="x",75+U81,IF(M81&lt;6.66,150+U81,-1.7384*M81^2+92.38*M81-388+U81))</f>
        <v>9023.851176</v>
      </c>
      <c r="W81" s="5"/>
      <c r="X81" s="5"/>
      <c r="Y81" s="5"/>
      <c r="Z81" s="5"/>
      <c r="AA81" s="5"/>
      <c r="AB81" s="5"/>
      <c r="AC81" s="5"/>
      <c r="AD81" s="33">
        <v>67</v>
      </c>
      <c r="AE81" s="5">
        <f>IF(AD81=0,(W81+4*X81+2*Y81+4*Z81+AA81)*AC81/12+W81*AB81/1.5,AD81)</f>
        <v>67</v>
      </c>
      <c r="AF81" s="11">
        <v>17.6</v>
      </c>
      <c r="AG81" s="11"/>
      <c r="AH81" s="5">
        <f>IF(AC81=0,AE81+AF81*AG81/2,AE81+AC81*AG81/2)</f>
        <v>67</v>
      </c>
      <c r="AI81" s="3"/>
      <c r="AJ81" s="3"/>
      <c r="AK81" s="33">
        <v>43</v>
      </c>
      <c r="AL81" s="5">
        <f>IF(AK81=0,AI81*AJ81/2,AK81)</f>
        <v>43</v>
      </c>
      <c r="AM81" s="3"/>
      <c r="AN81" s="5"/>
      <c r="AO81" s="5">
        <v>0.13</v>
      </c>
      <c r="AP81" s="5">
        <f>AL81+AI81*(AN81-AO81)/2</f>
        <v>43</v>
      </c>
      <c r="AQ81" s="5">
        <f>0.1*(AE81+AL81)</f>
        <v>11</v>
      </c>
      <c r="AR81" s="11">
        <v>18</v>
      </c>
      <c r="AS81" s="11"/>
      <c r="AT81" s="11"/>
      <c r="AU81" s="11"/>
      <c r="AV81" s="33">
        <v>68</v>
      </c>
      <c r="AW81" s="5">
        <f>IF(AV81=0,AS81/6*(AT81+AU81*4),AV81)</f>
        <v>68</v>
      </c>
      <c r="AX81" s="11">
        <v>1.3</v>
      </c>
      <c r="AY81" s="5">
        <f>IF(AX81&lt;0.149*M81+0.329,1,AX81/(0.149*M81+0.329))</f>
        <v>1</v>
      </c>
      <c r="AZ81" s="5">
        <f>IF(AW81*AY81&gt;AL81,(AW81*AY81-AL81)/4,0)</f>
        <v>6.25</v>
      </c>
      <c r="BA81" s="12">
        <f>0.401+0.1831*(2*AR81^2/(AH81+AP81+AZ81))-0.02016*(2*AR81^2/(AH81+AP81+AZ81))^2+0.0007472*(2*AR81^2/(AH81+AP81+AZ81))^3</f>
        <v>0.9246452201206539</v>
      </c>
      <c r="BB81" s="5">
        <v>9.539999999999999</v>
      </c>
      <c r="BC81" s="5">
        <v>20.1</v>
      </c>
      <c r="BD81" s="5">
        <v>17.4</v>
      </c>
      <c r="BE81" s="5">
        <v>9.369999999999999</v>
      </c>
      <c r="BF81" s="33"/>
      <c r="BG81" s="5">
        <f>IF(BF81=0,(BC81+BD81)*(BB81/12+BE81/3),BF81)</f>
        <v>146.9375</v>
      </c>
      <c r="BH81" s="5">
        <f>IF(BG81*AY81&gt;AL81+AZ81,BG81*AY81-AL81-AZ81,0)</f>
        <v>97.6875</v>
      </c>
      <c r="BI81" s="42">
        <f>IF(M81/1.6&lt;8,ROUND(M81/1.6,0),8)</f>
        <v>8</v>
      </c>
      <c r="BJ81" s="5">
        <f>(AH81+AP81+AZ81)*BA81+0.1*BH81</f>
        <v>117.258756839026</v>
      </c>
      <c r="BK81" s="11">
        <v>2</v>
      </c>
      <c r="BL81" s="5">
        <f>M81*0.2</f>
        <v>2.62</v>
      </c>
      <c r="BM81" s="5">
        <f>ROUNDDOWN(M81/2.13,0)</f>
        <v>6</v>
      </c>
      <c r="BN81" s="12">
        <f>M81/4.26</f>
        <v>3.075117370892019</v>
      </c>
      <c r="BO81" s="5">
        <f>IF(M81&lt;8,1.22,IF(M81&lt;15.2,0.108333*M81+0.353,2))</f>
        <v>1.7721623</v>
      </c>
      <c r="BP81" s="12">
        <f>IF(BK81&lt;BO81,1+0.3*(BO81-BK81)/M81,1)</f>
        <v>1</v>
      </c>
      <c r="BQ81" s="39">
        <v>7</v>
      </c>
      <c r="BR81" s="39">
        <v>2</v>
      </c>
      <c r="BS81" s="36"/>
      <c r="BT81" t="s" s="24">
        <v>154</v>
      </c>
      <c r="BU81" s="36"/>
      <c r="BV81" s="5">
        <f>IF(BQ81&lt;(M81/0.3048)^0.5,1,IF(BU81="x",1-BR81*0.02,IF(BT81="x",1-BR81*0.01,1)))</f>
        <v>0.98</v>
      </c>
      <c r="BW81" s="12">
        <f>IF(K81="x",MIN(1.315,1.28+U81*N81/BJ81/AR81/1100),IF(L81="x",1.28,MAX(1.245,1.28-U81*N81/BJ81/AR81/1100)))</f>
        <v>1.245</v>
      </c>
      <c r="BX81" s="41">
        <f>BW81*T81*BV81*BP81*N81^0.3*BJ81^0.4/V81^0.325</f>
        <v>0.96403729914516</v>
      </c>
      <c r="BY81" s="29"/>
      <c r="BZ81" s="29"/>
      <c r="CA81" t="s" s="19">
        <v>188</v>
      </c>
      <c r="CB81" t="s" s="19">
        <v>321</v>
      </c>
      <c r="CC81" t="s" s="19">
        <v>180</v>
      </c>
      <c r="CD81" t="s" s="19">
        <v>660</v>
      </c>
      <c r="CE81" s="3"/>
      <c r="CF81" s="3"/>
      <c r="CG81" t="s" s="30">
        <f>A81</f>
        <v>661</v>
      </c>
    </row>
    <row r="82" ht="12.75" customHeight="1">
      <c r="A82" t="s" s="25">
        <v>662</v>
      </c>
      <c r="B82" t="s" s="19">
        <v>663</v>
      </c>
      <c r="C82" t="s" s="19">
        <v>304</v>
      </c>
      <c r="D82" t="s" s="19">
        <v>305</v>
      </c>
      <c r="E82" t="s" s="19">
        <v>664</v>
      </c>
      <c r="F82" t="s" s="19">
        <v>665</v>
      </c>
      <c r="G82" t="s" s="19">
        <v>666</v>
      </c>
      <c r="H82" s="32"/>
      <c r="I82" s="32"/>
      <c r="J82" t="s" s="24">
        <v>154</v>
      </c>
      <c r="K82" s="36"/>
      <c r="L82" s="36"/>
      <c r="M82" s="11">
        <v>10.6</v>
      </c>
      <c r="N82" s="5">
        <v>10.6</v>
      </c>
      <c r="O82" s="11">
        <v>5.85</v>
      </c>
      <c r="P82" s="11">
        <v>0.95</v>
      </c>
      <c r="Q82" s="37"/>
      <c r="R82" s="36"/>
      <c r="S82" s="36"/>
      <c r="T82" s="38">
        <f>IF(S82&gt;0,1.048,IF(R82&gt;0,1.048,IF(Q82&gt;0,1.036,0.907+1.55*(P82/N82)-4.449*(P82/N82)^2)))</f>
        <v>1.010179757030972</v>
      </c>
      <c r="U82" s="39">
        <v>5800</v>
      </c>
      <c r="V82" s="40">
        <f>IF(H82="x",75+U82,IF(M82&lt;6.66,150+U82,-1.7384*M82^2+92.38*M82-388+U82))</f>
        <v>6195.901376</v>
      </c>
      <c r="W82" s="5"/>
      <c r="X82" s="5"/>
      <c r="Y82" s="5"/>
      <c r="Z82" s="5"/>
      <c r="AA82" s="5"/>
      <c r="AB82" s="5"/>
      <c r="AC82" s="5"/>
      <c r="AD82" s="33">
        <v>40</v>
      </c>
      <c r="AE82" s="5">
        <f>IF(AD82=0,(W82+4*X82+2*Y82+4*Z82+AA82)*AC82/12+W82*AB82/1.5,AD82)</f>
        <v>40</v>
      </c>
      <c r="AF82" s="11"/>
      <c r="AG82" s="11"/>
      <c r="AH82" s="5">
        <f>IF(AC82=0,AE82+AF82*AG82/2,AE82+AC82*AG82/2)</f>
        <v>40</v>
      </c>
      <c r="AI82" s="3"/>
      <c r="AJ82" s="3"/>
      <c r="AK82" s="33">
        <v>28</v>
      </c>
      <c r="AL82" s="5">
        <f>IF(AK82=0,AI82*AJ82/2,AK82)</f>
        <v>28</v>
      </c>
      <c r="AM82" s="3"/>
      <c r="AN82" s="5"/>
      <c r="AO82" s="5"/>
      <c r="AP82" s="5">
        <f>AL82+AI82*(AN82-AO82)/2</f>
        <v>28</v>
      </c>
      <c r="AQ82" s="5">
        <f>0.1*(AE82+AL82)</f>
        <v>6.800000000000001</v>
      </c>
      <c r="AR82" s="11">
        <v>14.03</v>
      </c>
      <c r="AS82" s="11"/>
      <c r="AT82" s="11"/>
      <c r="AU82" s="11"/>
      <c r="AV82" s="33"/>
      <c r="AW82" s="5">
        <f>IF(AV82=0,AS82/6*(AT82+AU82*4),AV82)</f>
        <v>0</v>
      </c>
      <c r="AX82" s="11">
        <v>0</v>
      </c>
      <c r="AY82" s="5">
        <f>IF(AX82&lt;0.149*M82+0.329,1,AX82/(0.149*M82+0.329))</f>
        <v>1</v>
      </c>
      <c r="AZ82" s="5">
        <f>IF(AW82*AY82&gt;AL82,(AW82*AY82-AL82)/4,0)</f>
        <v>0</v>
      </c>
      <c r="BA82" s="12">
        <f>0.401+0.1831*(2*AR82^2/(AH82+AP82+AZ82))-0.02016*(2*AR82^2/(AH82+AP82+AZ82))^2+0.0007472*(2*AR82^2/(AH82+AP82+AZ82))^3</f>
        <v>0.930324124418245</v>
      </c>
      <c r="BB82" s="3"/>
      <c r="BC82" s="3"/>
      <c r="BD82" s="3"/>
      <c r="BE82" s="3"/>
      <c r="BF82" s="33">
        <v>76</v>
      </c>
      <c r="BG82" s="5">
        <f>IF(BF82=0,(BC82+BD82)*(BB82/12+BE82/3),BF82)</f>
        <v>76</v>
      </c>
      <c r="BH82" s="5">
        <f>IF(BG82*AY82&gt;AL82+AZ82,BG82*AY82-AL82-AZ82,0)</f>
        <v>48</v>
      </c>
      <c r="BI82" s="5">
        <f>IF(M82/1.6&lt;8,ROUND(M82/1.6,0),8)</f>
        <v>7</v>
      </c>
      <c r="BJ82" s="5">
        <f>(AH82+AP82+AZ82)*BA82+0.1*BH82</f>
        <v>68.06204046044066</v>
      </c>
      <c r="BK82" s="11">
        <v>1.9</v>
      </c>
      <c r="BL82" s="5">
        <f>M82*0.2</f>
        <v>2.12</v>
      </c>
      <c r="BM82" s="5">
        <f>ROUNDDOWN(M82/2.13,0)</f>
        <v>4</v>
      </c>
      <c r="BN82" s="12">
        <f>M82/4.26</f>
        <v>2.488262910798122</v>
      </c>
      <c r="BO82" s="5">
        <f>IF(M82&lt;8,1.22,IF(M82&lt;15.2,0.108333*M82+0.353,2))</f>
        <v>1.5013298</v>
      </c>
      <c r="BP82" s="12">
        <f>IF(BK82&lt;BO82,1+0.3*(BO82-BK82)/M82,1)</f>
        <v>1</v>
      </c>
      <c r="BQ82" s="39">
        <v>8</v>
      </c>
      <c r="BR82" s="39">
        <v>2</v>
      </c>
      <c r="BS82" s="36"/>
      <c r="BT82" s="36"/>
      <c r="BU82" t="s" s="24">
        <v>154</v>
      </c>
      <c r="BV82" s="5">
        <f>IF(BQ82&lt;(M82/0.3048)^0.5,1,IF(BU82="x",1-BR82*0.02,IF(BT82="x",1-BR82*0.01,1)))</f>
        <v>0.96</v>
      </c>
      <c r="BW82" s="12">
        <f>IF(K82="x",MIN(1.315,1.28+U82*N82/BJ82/AR82/1100),IF(L82="x",1.28,MAX(1.245,1.28-U82*N82/BJ82/AR82/1100)))</f>
        <v>1.245</v>
      </c>
      <c r="BX82" s="41">
        <f>BW82*T82*BV82*BP82*N82^0.3*BJ82^0.4/V82^0.325</f>
        <v>0.7765314152342297</v>
      </c>
      <c r="BY82" s="29"/>
      <c r="BZ82" s="29"/>
      <c r="CA82" t="s" s="19">
        <v>188</v>
      </c>
      <c r="CB82" t="s" s="19">
        <v>321</v>
      </c>
      <c r="CC82" t="s" s="19">
        <v>180</v>
      </c>
      <c r="CD82" t="s" s="19">
        <v>667</v>
      </c>
      <c r="CE82" s="3"/>
      <c r="CF82" s="3"/>
      <c r="CG82" t="s" s="30">
        <f>A82</f>
        <v>668</v>
      </c>
    </row>
    <row r="83" ht="12.75" customHeight="1">
      <c r="A83" t="s" s="25">
        <v>669</v>
      </c>
      <c r="B83" t="s" s="19">
        <v>670</v>
      </c>
      <c r="C83" t="s" s="19">
        <v>671</v>
      </c>
      <c r="D83" t="s" s="19">
        <v>672</v>
      </c>
      <c r="E83" t="s" s="19">
        <v>673</v>
      </c>
      <c r="F83" s="3"/>
      <c r="G83" t="s" s="19">
        <v>674</v>
      </c>
      <c r="H83" s="32"/>
      <c r="I83" s="32"/>
      <c r="J83" t="s" s="24">
        <v>154</v>
      </c>
      <c r="K83" s="36"/>
      <c r="L83" s="36"/>
      <c r="M83" s="11">
        <v>10.86</v>
      </c>
      <c r="N83" s="5">
        <v>10.54</v>
      </c>
      <c r="O83" s="11">
        <v>5</v>
      </c>
      <c r="P83" s="11"/>
      <c r="Q83" s="37"/>
      <c r="R83" s="43">
        <v>1.6</v>
      </c>
      <c r="S83" s="36"/>
      <c r="T83" s="38">
        <f>IF(S83&gt;0,1.048,IF(R83&gt;0,1.048,IF(Q83&gt;0,1.036,0.907+1.55*(P83/N83)-4.449*(P83/N83)^2)))</f>
        <v>1.048</v>
      </c>
      <c r="U83" s="39">
        <v>2700</v>
      </c>
      <c r="V83" s="40">
        <f>IF(H83="x",75+U83,IF(M83&lt;6.66,150+U83,-1.7384*M83^2+92.38*M83-388+U83))</f>
        <v>3110.22059936</v>
      </c>
      <c r="W83" s="60">
        <v>4.12</v>
      </c>
      <c r="X83" s="60">
        <v>3.64</v>
      </c>
      <c r="Y83" s="60">
        <v>3.11</v>
      </c>
      <c r="Z83" s="60">
        <v>2.38</v>
      </c>
      <c r="AA83" s="60">
        <v>0.84</v>
      </c>
      <c r="AB83" s="60">
        <v>0</v>
      </c>
      <c r="AC83" s="60">
        <v>12.37</v>
      </c>
      <c r="AD83" s="33"/>
      <c r="AE83" s="5">
        <f>IF(AD83=0,(W83+4*X83+2*Y83+4*Z83+AA83)*AC83/12+W83*AB83/1.5,AD83)</f>
        <v>36.34718333333334</v>
      </c>
      <c r="AF83" s="11"/>
      <c r="AG83" s="11">
        <v>0</v>
      </c>
      <c r="AH83" s="5">
        <f>IF(AC83=0,AE83+AF83*AG83/2,AE83+AC83*AG83/2)</f>
        <v>36.34718333333334</v>
      </c>
      <c r="AI83" s="60">
        <v>10.05</v>
      </c>
      <c r="AJ83" s="60">
        <v>2.75</v>
      </c>
      <c r="AK83" s="33"/>
      <c r="AL83" s="5">
        <f>IF(AK83=0,AI83*AJ83/2,AK83)</f>
        <v>13.81875</v>
      </c>
      <c r="AM83" s="3"/>
      <c r="AN83" s="5"/>
      <c r="AO83" s="5"/>
      <c r="AP83" s="5">
        <f>AL83+AI83*(AN83-AO83)/2</f>
        <v>13.81875</v>
      </c>
      <c r="AQ83" s="5">
        <f>0.1*(AE83+AL83)</f>
        <v>5.016593333333335</v>
      </c>
      <c r="AR83" s="11">
        <v>13.1</v>
      </c>
      <c r="AS83" s="11"/>
      <c r="AT83" s="11"/>
      <c r="AU83" s="11"/>
      <c r="AV83" s="33"/>
      <c r="AW83" s="5">
        <f>IF(AV83=0,AS83/6*(AT83+AU83*4),AV83)</f>
        <v>0</v>
      </c>
      <c r="AX83" s="11">
        <v>1.95</v>
      </c>
      <c r="AY83" s="5">
        <f>IF(AX83&lt;0.149*M83+0.329,1,AX83/(0.149*M83+0.329))</f>
        <v>1.001468820937375</v>
      </c>
      <c r="AZ83" s="5">
        <f>IF(AW83*AY83&gt;AL83,(AW83*AY83-AL83)/4,0)</f>
        <v>0</v>
      </c>
      <c r="BA83" s="12">
        <f>0.401+0.1831*(2*AR83^2/(AH83+AP83+AZ83))-0.02016*(2*AR83^2/(AH83+AP83+AZ83))^2+0.0007472*(2*AR83^2/(AH83+AP83+AZ83))^3</f>
        <v>0.949341031554563</v>
      </c>
      <c r="BB83" s="5">
        <v>9.25</v>
      </c>
      <c r="BC83" s="5">
        <v>14.7</v>
      </c>
      <c r="BD83" s="5">
        <v>12.87</v>
      </c>
      <c r="BE83" s="5">
        <v>6.95</v>
      </c>
      <c r="BF83" s="33"/>
      <c r="BG83" s="5">
        <f>IF(BF83=0,(BC83+BD83)*(BB83/12+BE83/3),BF83)</f>
        <v>85.12237500000001</v>
      </c>
      <c r="BH83" s="5">
        <f>IF(BG83*AY83&gt;AL83+AZ83,BG83*AY83-AL83-AZ83,0)</f>
        <v>71.42865452663906</v>
      </c>
      <c r="BI83" s="5">
        <f>IF(M83/1.6&lt;8,ROUND(M83/1.6,0),8)</f>
        <v>7</v>
      </c>
      <c r="BJ83" s="5">
        <f>(AH83+AP83+AZ83)*BA83+0.1*BH83</f>
        <v>54.76744435222801</v>
      </c>
      <c r="BK83" s="11">
        <v>1.7</v>
      </c>
      <c r="BL83" s="5">
        <f>M83*0.2</f>
        <v>2.172</v>
      </c>
      <c r="BM83" s="5">
        <f>ROUNDDOWN(M83/2.13,0)</f>
        <v>5</v>
      </c>
      <c r="BN83" s="12">
        <f>M83/4.26</f>
        <v>2.549295774647887</v>
      </c>
      <c r="BO83" s="5">
        <f>IF(M83&lt;8,1.22,IF(M83&lt;15.2,0.108333*M83+0.353,2))</f>
        <v>1.52949638</v>
      </c>
      <c r="BP83" s="12">
        <f>IF(BK83&lt;BO83,1+0.3*(BO83-BK83)/M83,1)</f>
        <v>1</v>
      </c>
      <c r="BQ83" s="32"/>
      <c r="BR83" s="32"/>
      <c r="BS83" t="s" s="24">
        <v>154</v>
      </c>
      <c r="BT83" s="36"/>
      <c r="BU83" s="36"/>
      <c r="BV83" s="5">
        <f>IF(BQ83&lt;(M83/0.3048)^0.5,1,IF(BU83="x",1-BR83*0.02,IF(BT83="x",1-BR83*0.01,1)))</f>
        <v>1</v>
      </c>
      <c r="BW83" s="12">
        <f>IF(K83="x",MIN(1.315,1.28+U83*N83/BJ83/AR83/1100),IF(L83="x",1.28,MAX(1.245,1.28-U83*N83/BJ83/AR83/1100)))</f>
        <v>1.245</v>
      </c>
      <c r="BX83" s="41">
        <f>BW83*T83*BV83*BP83*N83^0.3*BJ83^0.4/V83^0.325</f>
        <v>0.9608037064045619</v>
      </c>
      <c r="BY83" s="3"/>
      <c r="BZ83" s="3"/>
      <c r="CA83" t="s" s="19">
        <v>253</v>
      </c>
      <c r="CB83" s="46">
        <v>38139</v>
      </c>
      <c r="CC83" t="s" s="19">
        <v>254</v>
      </c>
      <c r="CD83" s="3"/>
      <c r="CE83" s="3"/>
      <c r="CF83" s="3"/>
      <c r="CG83" t="s" s="30">
        <f>A83</f>
        <v>675</v>
      </c>
    </row>
    <row r="84" ht="12.75" customHeight="1">
      <c r="A84" t="s" s="25">
        <v>676</v>
      </c>
      <c r="B84" t="s" s="19">
        <v>677</v>
      </c>
      <c r="C84" t="s" s="19">
        <v>304</v>
      </c>
      <c r="D84" t="s" s="19">
        <v>305</v>
      </c>
      <c r="E84" t="s" s="19">
        <v>678</v>
      </c>
      <c r="F84" s="3"/>
      <c r="G84" s="3"/>
      <c r="H84" s="32"/>
      <c r="I84" s="32"/>
      <c r="J84" t="s" s="24">
        <v>154</v>
      </c>
      <c r="K84" s="36"/>
      <c r="L84" s="36"/>
      <c r="M84" s="11">
        <v>11.9</v>
      </c>
      <c r="N84" s="5">
        <v>11.6</v>
      </c>
      <c r="O84" s="11">
        <v>6</v>
      </c>
      <c r="P84" s="11"/>
      <c r="Q84" t="s" s="24">
        <v>504</v>
      </c>
      <c r="R84" s="36"/>
      <c r="S84" s="36"/>
      <c r="T84" s="38">
        <f>IF(S84&gt;0,1.048,IF(R84&gt;0,1.048,IF(Q84&gt;0,1.036,0.907+1.55*(P84/N84)-4.449*(P84/N84)^2)))</f>
        <v>1.036</v>
      </c>
      <c r="U84" s="39">
        <v>4700</v>
      </c>
      <c r="V84" s="40">
        <f>IF(H84="x",75+U84,IF(M84&lt;6.66,150+U84,-1.7384*M84^2+92.38*M84-388+U84))</f>
        <v>5165.147175999999</v>
      </c>
      <c r="W84" s="5"/>
      <c r="X84" s="5"/>
      <c r="Y84" s="5"/>
      <c r="Z84" s="5"/>
      <c r="AA84" s="5"/>
      <c r="AB84" s="5"/>
      <c r="AC84" s="5">
        <v>13</v>
      </c>
      <c r="AD84" s="33">
        <v>35</v>
      </c>
      <c r="AE84" s="5">
        <f>IF(AD84=0,(W84+4*X84+2*Y84+4*Z84+AA84)*AC84/12+W84*AB84/1.5,AD84)</f>
        <v>35</v>
      </c>
      <c r="AF84" s="11">
        <v>14.45</v>
      </c>
      <c r="AG84" s="11"/>
      <c r="AH84" s="5">
        <f>IF(AC84=0,AE84+AF84*AG84/2,AE84+AC84*AG84/2)</f>
        <v>35</v>
      </c>
      <c r="AI84" s="3"/>
      <c r="AJ84" s="3"/>
      <c r="AK84" s="33">
        <v>32</v>
      </c>
      <c r="AL84" s="5">
        <f>IF(AK84=0,AI84*AJ84/2,AK84)</f>
        <v>32</v>
      </c>
      <c r="AM84" s="3"/>
      <c r="AN84" s="5"/>
      <c r="AO84" s="5"/>
      <c r="AP84" s="5">
        <f>AL84+AI84*(AN84-AO84)/2</f>
        <v>32</v>
      </c>
      <c r="AQ84" s="5">
        <f>0.1*(AE84+AL84)</f>
        <v>6.7</v>
      </c>
      <c r="AR84" s="11">
        <v>14.45</v>
      </c>
      <c r="AS84" s="11"/>
      <c r="AT84" s="11"/>
      <c r="AU84" s="11"/>
      <c r="AV84" s="33"/>
      <c r="AW84" s="5">
        <f>IF(AV84=0,AS84/6*(AT84+AU84*4),AV84)</f>
        <v>0</v>
      </c>
      <c r="AX84" s="11">
        <v>1.5</v>
      </c>
      <c r="AY84" s="5">
        <f>IF(AX84&lt;0.149*M84+0.329,1,AX84/(0.149*M84+0.329))</f>
        <v>1</v>
      </c>
      <c r="AZ84" s="5">
        <f>IF(AW84*AY84&gt;AL84,(AW84*AY84-AL84)/4,0)</f>
        <v>0</v>
      </c>
      <c r="BA84" s="12">
        <f>0.401+0.1831*(2*AR84^2/(AH84+AP84+AZ84))-0.02016*(2*AR84^2/(AH84+AP84+AZ84))^2+0.0007472*(2*AR84^2/(AH84+AP84+AZ84))^3</f>
        <v>0.939976141377336</v>
      </c>
      <c r="BB84" s="3"/>
      <c r="BC84" s="3"/>
      <c r="BD84" s="3"/>
      <c r="BE84" s="3"/>
      <c r="BF84" s="33">
        <v>70</v>
      </c>
      <c r="BG84" s="5">
        <f>IF(BF84=0,(BC84+BD84)*(BB84/12+BE84/3),BF84)</f>
        <v>70</v>
      </c>
      <c r="BH84" s="5">
        <f>IF(BG84*AY84&gt;AL84+AZ84,BG84*AY84-AL84-AZ84,0)</f>
        <v>38</v>
      </c>
      <c r="BI84" s="5">
        <f>IF(M84/1.6&lt;8,ROUND(M84/1.6,0),8)</f>
        <v>7</v>
      </c>
      <c r="BJ84" s="5">
        <f>(AH84+AP84+AZ84)*BA84+0.1*BH84</f>
        <v>66.77840147228152</v>
      </c>
      <c r="BK84" s="11">
        <v>1.75</v>
      </c>
      <c r="BL84" s="5">
        <f>M84*0.2</f>
        <v>2.38</v>
      </c>
      <c r="BM84" s="5">
        <f>ROUNDDOWN(M84/2.13,0)</f>
        <v>5</v>
      </c>
      <c r="BN84" s="12">
        <f>M84/4.26</f>
        <v>2.793427230046948</v>
      </c>
      <c r="BO84" s="5">
        <f>IF(M84&lt;8,1.22,IF(M84&lt;15.2,0.108333*M84+0.353,2))</f>
        <v>1.6421627</v>
      </c>
      <c r="BP84" s="12">
        <f>IF(BK84&lt;BO84,1+0.3*(BO84-BK84)/M84,1)</f>
        <v>1</v>
      </c>
      <c r="BQ84" s="39">
        <v>7</v>
      </c>
      <c r="BR84" s="39">
        <v>0</v>
      </c>
      <c r="BS84" t="s" s="24">
        <v>154</v>
      </c>
      <c r="BT84" s="36"/>
      <c r="BU84" s="36"/>
      <c r="BV84" s="5">
        <f>IF(BQ84&lt;(M84/0.3048)^0.5,1,IF(BU84="x",1-BR84*0.02,IF(BT84="x",1-BR84*0.01,1)))</f>
        <v>1</v>
      </c>
      <c r="BW84" s="12">
        <f>IF(K84="x",MIN(1.315,1.28+U84*N84/BJ84/AR84/1100),IF(L84="x",1.28,MAX(1.245,1.28-U84*N84/BJ84/AR84/1100)))</f>
        <v>1.245</v>
      </c>
      <c r="BX84" s="41">
        <f>BW84*T84*BV84*BP84*N84^0.3*BJ84^0.4/V84^0.325</f>
        <v>0.8973648071074727</v>
      </c>
      <c r="BY84" s="29"/>
      <c r="BZ84" s="29"/>
      <c r="CA84" t="s" s="19">
        <v>213</v>
      </c>
      <c r="CB84" t="s" s="19">
        <v>430</v>
      </c>
      <c r="CC84" t="s" s="19">
        <v>180</v>
      </c>
      <c r="CD84" t="s" s="19">
        <v>307</v>
      </c>
      <c r="CE84" s="3"/>
      <c r="CF84" s="3"/>
      <c r="CG84" t="s" s="30">
        <f>A84</f>
        <v>679</v>
      </c>
    </row>
    <row r="85" ht="12.75" customHeight="1">
      <c r="A85" t="s" s="25">
        <v>680</v>
      </c>
      <c r="B85" t="s" s="19">
        <v>681</v>
      </c>
      <c r="C85" t="s" s="19">
        <v>213</v>
      </c>
      <c r="D85" t="s" s="19">
        <v>682</v>
      </c>
      <c r="E85" t="s" s="19">
        <v>683</v>
      </c>
      <c r="F85" s="3"/>
      <c r="G85" s="3"/>
      <c r="H85" s="32"/>
      <c r="I85" s="32"/>
      <c r="J85" t="s" s="24">
        <v>154</v>
      </c>
      <c r="K85" s="36"/>
      <c r="L85" s="36"/>
      <c r="M85" s="11">
        <v>13.95</v>
      </c>
      <c r="N85" s="5">
        <v>13.95</v>
      </c>
      <c r="O85" s="11">
        <v>7.62</v>
      </c>
      <c r="P85" s="11">
        <v>1.08</v>
      </c>
      <c r="Q85" s="37"/>
      <c r="R85" s="36"/>
      <c r="S85" s="36"/>
      <c r="T85" s="38">
        <f>IF(S85&gt;0,1.048,IF(R85&gt;0,1.048,IF(Q85&gt;0,1.036,0.907+1.55*(P85/N85)-4.449*(P85/N85)^2)))</f>
        <v>1.000333777315297</v>
      </c>
      <c r="U85" s="39">
        <v>8000</v>
      </c>
      <c r="V85" s="40">
        <f>IF(H85="x",75+U85,IF(M85&lt;6.66,150+U85,-1.7384*M85^2+92.38*M85-388+U85))</f>
        <v>8562.404014</v>
      </c>
      <c r="W85" s="5"/>
      <c r="X85" s="5"/>
      <c r="Y85" s="5"/>
      <c r="Z85" s="5"/>
      <c r="AA85" s="5"/>
      <c r="AB85" s="5"/>
      <c r="AC85" s="5">
        <v>18</v>
      </c>
      <c r="AD85" s="33">
        <v>79</v>
      </c>
      <c r="AE85" s="5">
        <f>IF(AD85=0,(W85+4*X85+2*Y85+4*Z85+AA85)*AC85/12+W85*AB85/1.5,AD85)</f>
        <v>79</v>
      </c>
      <c r="AF85" s="11">
        <v>18.6</v>
      </c>
      <c r="AG85" s="11">
        <v>0.9</v>
      </c>
      <c r="AH85" s="5">
        <f>IF(AC85=0,AE85+AF85*AG85/2,AE85+AC85*AG85/2)</f>
        <v>87.09999999999999</v>
      </c>
      <c r="AI85" s="5">
        <v>15.9</v>
      </c>
      <c r="AJ85" s="3"/>
      <c r="AK85" s="33">
        <v>48</v>
      </c>
      <c r="AL85" s="5">
        <f>IF(AK85=0,AI85*AJ85/2,AK85)</f>
        <v>48</v>
      </c>
      <c r="AM85" s="3"/>
      <c r="AN85" s="5"/>
      <c r="AO85" s="5">
        <v>0.174</v>
      </c>
      <c r="AP85" s="5">
        <f>AL85+AI85*(AN85-AO85)/2</f>
        <v>46.6167</v>
      </c>
      <c r="AQ85" s="5">
        <f>0.1*(AE85+AL85)</f>
        <v>12.7</v>
      </c>
      <c r="AR85" s="11">
        <v>20.28</v>
      </c>
      <c r="AS85" s="11"/>
      <c r="AT85" s="11"/>
      <c r="AU85" s="11"/>
      <c r="AV85" s="33">
        <v>86</v>
      </c>
      <c r="AW85" s="5">
        <f>IF(AV85=0,AS85/6*(AT85+AU85*4),AV85)</f>
        <v>86</v>
      </c>
      <c r="AX85" s="11">
        <v>1.02</v>
      </c>
      <c r="AY85" s="5">
        <f>IF(AX85&lt;0.149*M85+0.329,1,AX85/(0.149*M85+0.329))</f>
        <v>1</v>
      </c>
      <c r="AZ85" s="5">
        <f>IF(AW85*AY85&gt;AL85,(AW85*AY85-AL85)/4,0)</f>
        <v>9.5</v>
      </c>
      <c r="BA85" s="12">
        <f>0.401+0.1831*(2*AR85^2/(AH85+AP85+AZ85))-0.02016*(2*AR85^2/(AH85+AP85+AZ85))^2+0.0007472*(2*AR85^2/(AH85+AP85+AZ85))^3</f>
        <v>0.9291680148558973</v>
      </c>
      <c r="BB85" s="3"/>
      <c r="BC85" s="3"/>
      <c r="BD85" s="3"/>
      <c r="BE85" s="3"/>
      <c r="BF85" s="33">
        <v>190</v>
      </c>
      <c r="BG85" s="5">
        <f>IF(BF85=0,(BC85+BD85)*(BB85/12+BE85/3),BF85)</f>
        <v>190</v>
      </c>
      <c r="BH85" s="5">
        <f>IF(BG85*AY85&gt;AL85+AZ85,BG85*AY85-AL85-AZ85,0)</f>
        <v>132.5</v>
      </c>
      <c r="BI85" s="42">
        <f>IF(M85/1.6&lt;8,ROUND(M85/1.6,0),8)</f>
        <v>8</v>
      </c>
      <c r="BJ85" s="5">
        <f>(AH85+AP85+AZ85)*BA85+0.1*BH85</f>
        <v>146.3223768332126</v>
      </c>
      <c r="BK85" s="11">
        <v>2</v>
      </c>
      <c r="BL85" s="5">
        <f>M85*0.2</f>
        <v>2.79</v>
      </c>
      <c r="BM85" s="5">
        <f>ROUNDDOWN(M85/2.13,0)</f>
        <v>6</v>
      </c>
      <c r="BN85" s="12">
        <f>M85/4.26</f>
        <v>3.274647887323944</v>
      </c>
      <c r="BO85" s="5">
        <f>IF(M85&lt;8,1.22,IF(M85&lt;15.2,0.108333*M85+0.353,2))</f>
        <v>1.86424535</v>
      </c>
      <c r="BP85" s="12">
        <f>IF(BK85&lt;BO85,1+0.3*(BO85-BK85)/M85,1)</f>
        <v>1</v>
      </c>
      <c r="BQ85" s="39">
        <v>8</v>
      </c>
      <c r="BR85" s="39">
        <v>2</v>
      </c>
      <c r="BS85" s="36"/>
      <c r="BT85" t="s" s="24">
        <v>154</v>
      </c>
      <c r="BU85" s="36"/>
      <c r="BV85" s="5">
        <f>IF(BQ85&lt;(M85/0.3048)^0.5,1,IF(BU85="x",1-BR85*0.02,IF(BT85="x",1-BR85*0.01,1)))</f>
        <v>0.98</v>
      </c>
      <c r="BW85" s="12">
        <f>IF(K85="x",MIN(1.315,1.28+U85*N85/BJ85/AR85/1100),IF(L85="x",1.28,MAX(1.245,1.28-U85*N85/BJ85/AR85/1100)))</f>
        <v>1.245810495111239</v>
      </c>
      <c r="BX85" s="41">
        <f>BW85*T85*BV85*BP85*N85^0.3*BJ85^0.4/V85^0.325</f>
        <v>1.042859850686195</v>
      </c>
      <c r="BY85" s="29"/>
      <c r="BZ85" s="29"/>
      <c r="CA85" t="s" s="19">
        <v>213</v>
      </c>
      <c r="CB85" t="s" s="19">
        <v>684</v>
      </c>
      <c r="CC85" s="3"/>
      <c r="CD85" t="s" s="19">
        <v>685</v>
      </c>
      <c r="CE85" s="3"/>
      <c r="CF85" s="3"/>
      <c r="CG85" t="s" s="30">
        <f>A85</f>
        <v>686</v>
      </c>
    </row>
    <row r="86" ht="12.75" customHeight="1">
      <c r="A86" t="s" s="25">
        <v>687</v>
      </c>
      <c r="B86" t="s" s="19">
        <v>298</v>
      </c>
      <c r="C86" t="s" s="19">
        <v>258</v>
      </c>
      <c r="D86" s="3"/>
      <c r="E86" t="s" s="19">
        <v>688</v>
      </c>
      <c r="F86" s="3"/>
      <c r="G86" s="3"/>
      <c r="H86" s="32"/>
      <c r="I86" s="32"/>
      <c r="J86" t="s" s="24">
        <v>154</v>
      </c>
      <c r="K86" s="36"/>
      <c r="L86" s="36"/>
      <c r="M86" s="11">
        <v>9.800000000000001</v>
      </c>
      <c r="N86" s="5">
        <v>9.800000000000001</v>
      </c>
      <c r="O86" s="11"/>
      <c r="P86" s="11"/>
      <c r="Q86" s="37"/>
      <c r="R86" t="s" s="24">
        <v>161</v>
      </c>
      <c r="S86" s="36"/>
      <c r="T86" s="38">
        <f>IF(S86&gt;0,1.048,IF(R86&gt;0,1.048,IF(Q86&gt;0,1.036,0.907+1.55*(P86/N86)-4.449*(P86/N86)^2)))</f>
        <v>1.048</v>
      </c>
      <c r="U86" s="39">
        <v>2200</v>
      </c>
      <c r="V86" s="40">
        <f>IF(H86="x",75+U86,IF(M86&lt;6.66,150+U86,-1.7384*M86^2+92.38*M86-388+U86))</f>
        <v>2550.368064</v>
      </c>
      <c r="W86" s="5"/>
      <c r="X86" s="5"/>
      <c r="Y86" s="5"/>
      <c r="Z86" s="5"/>
      <c r="AA86" s="5"/>
      <c r="AB86" s="5"/>
      <c r="AC86" s="5">
        <v>12</v>
      </c>
      <c r="AD86" s="33">
        <v>32.13</v>
      </c>
      <c r="AE86" s="5">
        <f>IF(AD86=0,(W86+4*X86+2*Y86+4*Z86+AA86)*AC86/12+W86*AB86/1.5,AD86)</f>
        <v>32.13</v>
      </c>
      <c r="AF86" s="11">
        <v>12</v>
      </c>
      <c r="AG86" s="11">
        <v>0.6</v>
      </c>
      <c r="AH86" s="5">
        <f>IF(AC86=0,AE86+AF86*AG86/2,AE86+AC86*AG86/2)</f>
        <v>35.73</v>
      </c>
      <c r="AI86" s="3"/>
      <c r="AJ86" s="3"/>
      <c r="AK86" s="33">
        <v>20</v>
      </c>
      <c r="AL86" s="5">
        <f>IF(AK86=0,AI86*AJ86/2,AK86)</f>
        <v>20</v>
      </c>
      <c r="AM86" s="3"/>
      <c r="AN86" s="5"/>
      <c r="AO86" s="5"/>
      <c r="AP86" s="5">
        <f>AL86+AI86*(AN86-AO86)/2</f>
        <v>20</v>
      </c>
      <c r="AQ86" s="5">
        <f>0.1*(AE86+AL86)</f>
        <v>5.213000000000001</v>
      </c>
      <c r="AR86" s="11">
        <v>13</v>
      </c>
      <c r="AS86" s="11"/>
      <c r="AT86" s="11"/>
      <c r="AU86" s="11"/>
      <c r="AV86" s="33"/>
      <c r="AW86" s="5">
        <f>IF(AV86=0,AS86/6*(AT86+AU86*4),AV86)</f>
        <v>0</v>
      </c>
      <c r="AX86" s="11">
        <v>1.5</v>
      </c>
      <c r="AY86" s="5">
        <f>IF(AX86&lt;0.149*M86+0.329,1,AX86/(0.149*M86+0.329))</f>
        <v>1</v>
      </c>
      <c r="AZ86" s="5">
        <f>IF(AW86*AY86&gt;AL86,(AW86*AY86-AL86)/4,0)</f>
        <v>0</v>
      </c>
      <c r="BA86" s="12">
        <f>0.401+0.1831*(2*AR86^2/(AH86+AP86+AZ86))-0.02016*(2*AR86^2/(AH86+AP86+AZ86))^2+0.0007472*(2*AR86^2/(AH86+AP86+AZ86))^3</f>
        <v>0.9366281738988989</v>
      </c>
      <c r="BB86" s="3"/>
      <c r="BC86" s="3"/>
      <c r="BD86" s="3"/>
      <c r="BE86" s="3"/>
      <c r="BF86" s="33">
        <v>40</v>
      </c>
      <c r="BG86" s="5">
        <f>IF(BF86=0,(BC86+BD86)*(BB86/12+BE86/3),BF86)</f>
        <v>40</v>
      </c>
      <c r="BH86" s="5">
        <f>IF(BG86*AY86&gt;AL86+AZ86,BG86*AY86-AL86-AZ86,0)</f>
        <v>20</v>
      </c>
      <c r="BI86" s="5">
        <f>IF(M86/1.6&lt;8,ROUND(M86/1.6,0),8)</f>
        <v>6</v>
      </c>
      <c r="BJ86" s="5">
        <f>(AH86+AP86+AZ86)*BA86+0.1*BH86</f>
        <v>54.19828813138564</v>
      </c>
      <c r="BK86" s="11">
        <v>1.8</v>
      </c>
      <c r="BL86" s="5">
        <f>M86*0.2</f>
        <v>1.96</v>
      </c>
      <c r="BM86" s="5">
        <f>ROUNDDOWN(M86/2.13,0)</f>
        <v>4</v>
      </c>
      <c r="BN86" s="12">
        <f>M86/4.26</f>
        <v>2.300469483568075</v>
      </c>
      <c r="BO86" s="5">
        <f>IF(M86&lt;8,1.22,IF(M86&lt;15.2,0.108333*M86+0.353,2))</f>
        <v>1.4146634</v>
      </c>
      <c r="BP86" s="12">
        <f>IF(BK86&lt;BO86,1+0.3*(BO86-BK86)/M86,1)</f>
        <v>1</v>
      </c>
      <c r="BQ86" s="39">
        <v>5</v>
      </c>
      <c r="BR86" s="39">
        <v>0</v>
      </c>
      <c r="BS86" t="s" s="24">
        <v>154</v>
      </c>
      <c r="BT86" s="36"/>
      <c r="BU86" s="36"/>
      <c r="BV86" s="5">
        <f>IF(BQ86&lt;(M86/0.3048)^0.5,1,IF(BU86="x",1-BR86*0.02,IF(BT86="x",1-BR86*0.01,1)))</f>
        <v>1</v>
      </c>
      <c r="BW86" s="12">
        <f>IF(K86="x",MIN(1.315,1.28+U86*N86/BJ86/AR86/1100),IF(L86="x",1.28,MAX(1.245,1.28-U86*N86/BJ86/AR86/1100)))</f>
        <v>1.252181920136713</v>
      </c>
      <c r="BX86" s="41">
        <f>BW86*T86*BV86*BP86*N86^0.3*BJ86^0.4/V86^0.325</f>
        <v>1.004256917720058</v>
      </c>
      <c r="BY86" s="29"/>
      <c r="BZ86" s="29"/>
      <c r="CA86" t="s" s="19">
        <v>162</v>
      </c>
      <c r="CB86" t="s" s="19">
        <v>179</v>
      </c>
      <c r="CC86" t="s" s="19">
        <v>224</v>
      </c>
      <c r="CD86" s="3"/>
      <c r="CE86" s="3"/>
      <c r="CF86" s="3"/>
      <c r="CG86" t="s" s="30">
        <f>A86</f>
        <v>689</v>
      </c>
    </row>
    <row r="87" ht="12.75" customHeight="1">
      <c r="A87" t="s" s="25">
        <v>690</v>
      </c>
      <c r="B87" t="s" s="19">
        <v>691</v>
      </c>
      <c r="C87" t="s" s="19">
        <v>367</v>
      </c>
      <c r="D87" s="3"/>
      <c r="E87" t="s" s="19">
        <v>692</v>
      </c>
      <c r="F87" s="3"/>
      <c r="G87" s="3"/>
      <c r="H87" s="32"/>
      <c r="I87" s="32"/>
      <c r="J87" s="36"/>
      <c r="K87" t="s" s="24">
        <v>154</v>
      </c>
      <c r="L87" s="36"/>
      <c r="M87" s="11">
        <v>11.98</v>
      </c>
      <c r="N87" s="5">
        <v>11.7</v>
      </c>
      <c r="O87" s="11">
        <v>7.8</v>
      </c>
      <c r="P87" s="11">
        <v>1</v>
      </c>
      <c r="Q87" s="37"/>
      <c r="R87" s="36"/>
      <c r="S87" s="36"/>
      <c r="T87" s="38">
        <f>IF(S87&gt;0,1.048,IF(R87&gt;0,1.048,IF(Q87&gt;0,1.036,0.907+1.55*(P87/N87)-4.449*(P87/N87)^2)))</f>
        <v>1.006978084593469</v>
      </c>
      <c r="U87" s="39">
        <v>6000</v>
      </c>
      <c r="V87" s="40">
        <f>IF(H87="x",75+U87,IF(M87&lt;6.66,150+U87,-1.7384*M87^2+92.38*M87-388+U87))</f>
        <v>6469.21653664</v>
      </c>
      <c r="W87" s="5"/>
      <c r="X87" s="5"/>
      <c r="Y87" s="5"/>
      <c r="Z87" s="5"/>
      <c r="AA87" s="5"/>
      <c r="AB87" s="5"/>
      <c r="AC87" s="5"/>
      <c r="AD87" s="33">
        <v>25</v>
      </c>
      <c r="AE87" s="5">
        <f>IF(AD87=0,(W87+4*X87+2*Y87+4*Z87+AA87)*AC87/12+W87*AB87/1.5,AD87)</f>
        <v>25</v>
      </c>
      <c r="AF87" s="11">
        <v>11</v>
      </c>
      <c r="AG87" s="11"/>
      <c r="AH87" s="5">
        <f>IF(AC87=0,AE87+AF87*AG87/2,AE87+AC87*AG87/2)</f>
        <v>25</v>
      </c>
      <c r="AI87" s="3"/>
      <c r="AJ87" s="3"/>
      <c r="AK87" s="33">
        <v>36</v>
      </c>
      <c r="AL87" s="5">
        <f>IF(AK87=0,AI87*AJ87/2,AK87)</f>
        <v>36</v>
      </c>
      <c r="AM87" s="3"/>
      <c r="AN87" s="5"/>
      <c r="AO87" s="5"/>
      <c r="AP87" s="5">
        <f>AL87+AI87*(AN87-AO87)/2</f>
        <v>36</v>
      </c>
      <c r="AQ87" s="5">
        <f>0.1*(AE87+AL87)</f>
        <v>6.100000000000001</v>
      </c>
      <c r="AR87" s="11">
        <v>12</v>
      </c>
      <c r="AS87" s="11"/>
      <c r="AT87" s="11"/>
      <c r="AU87" s="11"/>
      <c r="AV87" s="33">
        <v>50</v>
      </c>
      <c r="AW87" s="5">
        <f>IF(AV87=0,AS87/6*(AT87+AU87*4),AV87)</f>
        <v>50</v>
      </c>
      <c r="AX87" s="11">
        <v>0.5</v>
      </c>
      <c r="AY87" s="5">
        <f>IF(AX87&lt;0.149*M87+0.329,1,AX87/(0.149*M87+0.329))</f>
        <v>1</v>
      </c>
      <c r="AZ87" s="5">
        <f>IF(AW87*AY87&gt;AL87,(AW87*AY87-AL87)/4,0)</f>
        <v>3.5</v>
      </c>
      <c r="BA87" s="12">
        <f>0.401+0.1831*(2*AR87^2/(AH87+AP87+AZ87))-0.02016*(2*AR87^2/(AH87+AP87+AZ87))^2+0.0007472*(2*AR87^2/(AH87+AP87+AZ87))^3</f>
        <v>0.8831449481630548</v>
      </c>
      <c r="BB87" s="3"/>
      <c r="BC87" s="3"/>
      <c r="BD87" s="3"/>
      <c r="BE87" s="3"/>
      <c r="BF87" s="33">
        <v>70</v>
      </c>
      <c r="BG87" s="5">
        <f>IF(BF87=0,(BC87+BD87)*(BB87/12+BE87/3),BF87)</f>
        <v>70</v>
      </c>
      <c r="BH87" s="5">
        <f>IF(BG87*AY87&gt;AL87+AZ87,BG87*AY87-AL87-AZ87,0)</f>
        <v>30.5</v>
      </c>
      <c r="BI87" s="3"/>
      <c r="BJ87" s="5">
        <f>(AH87+AP87+AZ87)*BA87+0.1*BH87</f>
        <v>60.01284915651703</v>
      </c>
      <c r="BK87" s="11">
        <v>1.8</v>
      </c>
      <c r="BL87" s="3"/>
      <c r="BM87" s="3"/>
      <c r="BN87" s="3"/>
      <c r="BO87" s="3"/>
      <c r="BP87" s="12">
        <f>IF(BK87&lt;BO87,1+0.3*(BO87-BK87)/M87,1)</f>
        <v>1</v>
      </c>
      <c r="BQ87" s="39">
        <v>4</v>
      </c>
      <c r="BR87" s="39">
        <v>1</v>
      </c>
      <c r="BS87" t="s" s="24">
        <v>154</v>
      </c>
      <c r="BT87" s="36"/>
      <c r="BU87" s="36"/>
      <c r="BV87" s="5">
        <f>IF(BQ87&lt;(M87/0.3048)^0.5,1,IF(BU87="x",1-BR87*0.02,IF(BT87="x",1-BR87*0.01,1)))</f>
        <v>1</v>
      </c>
      <c r="BW87" s="12">
        <f>IF(K87="x",MIN(1.315,1.28+U87*N87/BJ87/AR87/1100),IF(L87="x",1.28,MAX(1.245,1.28-U87*N87/BJ87/AR87/1100)))</f>
        <v>1.315</v>
      </c>
      <c r="BX87" s="41">
        <f>BW87*T87*BV87*BP87*N87^0.3*BJ87^0.4/V87^0.325</f>
        <v>0.822569173482362</v>
      </c>
      <c r="BY87" s="29"/>
      <c r="BZ87" s="29"/>
      <c r="CA87" t="s" s="19">
        <v>260</v>
      </c>
      <c r="CB87" t="s" s="19">
        <v>261</v>
      </c>
      <c r="CC87" t="s" s="19">
        <v>180</v>
      </c>
      <c r="CD87" t="s" s="19">
        <v>693</v>
      </c>
      <c r="CE87" s="3"/>
      <c r="CF87" s="3"/>
      <c r="CG87" t="s" s="30">
        <f>A87</f>
        <v>694</v>
      </c>
    </row>
    <row r="88" ht="12.75" customHeight="1">
      <c r="A88" t="s" s="25">
        <v>695</v>
      </c>
      <c r="B88" t="s" s="19">
        <v>696</v>
      </c>
      <c r="C88" t="s" s="19">
        <v>193</v>
      </c>
      <c r="D88" t="s" s="19">
        <v>193</v>
      </c>
      <c r="E88" t="s" s="19">
        <v>697</v>
      </c>
      <c r="F88" s="3"/>
      <c r="G88" s="42">
        <v>12</v>
      </c>
      <c r="H88" s="32"/>
      <c r="I88" s="32"/>
      <c r="J88" s="36"/>
      <c r="K88" t="s" s="24">
        <v>154</v>
      </c>
      <c r="L88" s="36"/>
      <c r="M88" s="11">
        <v>10</v>
      </c>
      <c r="N88" s="5">
        <v>9.75</v>
      </c>
      <c r="O88" s="11"/>
      <c r="P88" s="11"/>
      <c r="Q88" t="s" s="24">
        <v>161</v>
      </c>
      <c r="R88" s="36"/>
      <c r="S88" s="36"/>
      <c r="T88" s="38">
        <f>IF(S88&gt;0,1.048,IF(R88&gt;0,1.048,IF(Q88&gt;0,1.036,0.907+1.55*(P88/N88)-4.449*(P88/N88)^2)))</f>
        <v>1.036</v>
      </c>
      <c r="U88" s="39">
        <v>3222</v>
      </c>
      <c r="V88" s="40">
        <f>IF(H88="x",75+U88,IF(M88&lt;6.66,150+U88,-1.7384*M88^2+92.38*M88-388+U88))</f>
        <v>3583.96</v>
      </c>
      <c r="W88" s="5">
        <v>4.35</v>
      </c>
      <c r="X88" s="5">
        <v>3.86</v>
      </c>
      <c r="Y88" s="5">
        <v>3.58</v>
      </c>
      <c r="Z88" s="5">
        <v>2.79</v>
      </c>
      <c r="AA88" s="5">
        <v>0.25</v>
      </c>
      <c r="AB88" s="5">
        <v>0</v>
      </c>
      <c r="AC88" s="5">
        <v>13.9</v>
      </c>
      <c r="AD88" s="33"/>
      <c r="AE88" s="5">
        <f>IF(AD88=0,(W88+4*X88+2*Y88+4*Z88+AA88)*AC88/12+W88*AB88/1.5,AD88)</f>
        <v>44.43366666666666</v>
      </c>
      <c r="AF88" s="11"/>
      <c r="AG88" s="11"/>
      <c r="AH88" s="5">
        <f>IF(AC88=0,AE88+AF88*AG88/2,AE88+AC88*AG88/2)</f>
        <v>44.43366666666666</v>
      </c>
      <c r="AI88" s="5">
        <v>13.17</v>
      </c>
      <c r="AJ88" s="5">
        <v>3.75</v>
      </c>
      <c r="AK88" s="33"/>
      <c r="AL88" s="5">
        <f>IF(AK88=0,AI88*AJ88/2,AK88)</f>
        <v>24.69375</v>
      </c>
      <c r="AM88" s="3"/>
      <c r="AN88" s="5"/>
      <c r="AO88" s="5"/>
      <c r="AP88" s="5">
        <f>AL88+AI88*(AN88-AO88)/2</f>
        <v>24.69375</v>
      </c>
      <c r="AQ88" s="5">
        <f>0.1*(AE88+AL88)</f>
        <v>6.912741666666666</v>
      </c>
      <c r="AR88" s="11">
        <v>14.8</v>
      </c>
      <c r="AS88" s="11"/>
      <c r="AT88" s="11"/>
      <c r="AU88" s="11"/>
      <c r="AV88" s="33">
        <v>33.19</v>
      </c>
      <c r="AW88" s="5">
        <f>IF(AV88=0,AS88/6*(AT88+AU88*4),AV88)</f>
        <v>33.19</v>
      </c>
      <c r="AX88" s="11">
        <v>0.8</v>
      </c>
      <c r="AY88" s="5">
        <f>IF(AX88&lt;0.149*M88+0.329,1,AX88/(0.149*M88+0.329))</f>
        <v>1</v>
      </c>
      <c r="AZ88" s="5">
        <f>IF(AW88*AY88&gt;AL88,(AW88*AY88-AL88)/4,0)</f>
        <v>2.124062499999999</v>
      </c>
      <c r="BA88" s="12">
        <f>0.401+0.1831*(2*AR88^2/(AH88+AP88+AZ88))-0.02016*(2*AR88^2/(AH88+AP88+AZ88))^2+0.0007472*(2*AR88^2/(AH88+AP88+AZ88))^3</f>
        <v>0.9383357716923646</v>
      </c>
      <c r="BB88" s="5">
        <v>7</v>
      </c>
      <c r="BC88" s="5">
        <v>13</v>
      </c>
      <c r="BD88" s="5">
        <v>12</v>
      </c>
      <c r="BE88" s="5">
        <v>6.6</v>
      </c>
      <c r="BF88" s="33"/>
      <c r="BG88" s="5">
        <f>IF(BF88=0,(BC88+BD88)*(BB88/12+BE88/3),BF88)</f>
        <v>69.58333333333333</v>
      </c>
      <c r="BH88" s="5">
        <f>IF(BG88*AY88&gt;AL88+AZ88,BG88*AY88-AL88-AZ88,0)</f>
        <v>42.76552083333333</v>
      </c>
      <c r="BI88" s="5">
        <f>IF(M88/1.6&lt;8,ROUND(M88/1.6,0),8)</f>
        <v>6</v>
      </c>
      <c r="BJ88" s="5">
        <f>(AH88+AP88+AZ88)*BA88+0.1*BH88</f>
        <v>71.13436377140992</v>
      </c>
      <c r="BK88" s="11">
        <v>1.85</v>
      </c>
      <c r="BL88" s="5">
        <f>M88*0.2</f>
        <v>2</v>
      </c>
      <c r="BM88" s="5">
        <f>ROUNDDOWN(M88/2.13,0)</f>
        <v>4</v>
      </c>
      <c r="BN88" s="12">
        <f>M88/4.26</f>
        <v>2.347417840375587</v>
      </c>
      <c r="BO88" s="5">
        <f>IF(M88&lt;8,1.22,IF(M88&lt;15.2,0.108333*M88+0.353,2))</f>
        <v>1.43633</v>
      </c>
      <c r="BP88" s="12">
        <f>IF(BK88&lt;BO88,1+0.3*(BO88-BK88)/M88,1)</f>
        <v>1</v>
      </c>
      <c r="BQ88" s="39">
        <v>7</v>
      </c>
      <c r="BR88" s="39">
        <v>1</v>
      </c>
      <c r="BS88" s="36"/>
      <c r="BT88" t="s" s="24">
        <v>154</v>
      </c>
      <c r="BU88" s="36"/>
      <c r="BV88" s="5">
        <f>IF(BQ88&lt;(M88/0.3048)^0.5,1,IF(BU88="x",1-BR88*0.02,IF(BT88="x",1-BR88*0.01,1)))</f>
        <v>0.99</v>
      </c>
      <c r="BW88" s="12">
        <f>IF(K88="x",MIN(1.315,1.28+U88*N88/BJ88/AR88/1100),IF(L88="x",1.28,MAX(1.245,1.28-U88*N88/BJ88/AR88/1100)))</f>
        <v>1.307126658478854</v>
      </c>
      <c r="BX88" s="41">
        <f>BW88*T88*BV88*BP88*N88^0.3*BJ88^0.4/V88^0.325</f>
        <v>1.02253401136916</v>
      </c>
      <c r="BY88" s="29"/>
      <c r="BZ88" s="29"/>
      <c r="CA88" t="s" s="19">
        <v>698</v>
      </c>
      <c r="CB88" t="s" s="19">
        <v>699</v>
      </c>
      <c r="CC88" t="s" s="19">
        <v>254</v>
      </c>
      <c r="CD88" t="s" s="19">
        <v>483</v>
      </c>
      <c r="CE88" s="3"/>
      <c r="CF88" s="3"/>
      <c r="CG88" t="s" s="30">
        <f>A88</f>
        <v>700</v>
      </c>
    </row>
    <row r="89" ht="12.75" customHeight="1">
      <c r="A89" t="s" s="25">
        <v>701</v>
      </c>
      <c r="B89" t="s" s="19">
        <v>542</v>
      </c>
      <c r="C89" t="s" s="19">
        <v>344</v>
      </c>
      <c r="D89" t="s" s="19">
        <v>345</v>
      </c>
      <c r="E89" t="s" s="19">
        <v>702</v>
      </c>
      <c r="F89" t="s" s="19">
        <v>703</v>
      </c>
      <c r="G89" t="s" s="19">
        <v>704</v>
      </c>
      <c r="H89" s="32"/>
      <c r="I89" s="32"/>
      <c r="J89" s="36"/>
      <c r="K89" t="s" s="24">
        <v>154</v>
      </c>
      <c r="L89" s="36"/>
      <c r="M89" s="11">
        <v>8.25</v>
      </c>
      <c r="N89" s="5">
        <v>8.19</v>
      </c>
      <c r="O89" s="11">
        <v>5.82</v>
      </c>
      <c r="P89" s="11"/>
      <c r="Q89" s="37"/>
      <c r="R89" s="43">
        <v>1.5</v>
      </c>
      <c r="S89" s="36"/>
      <c r="T89" s="38">
        <f>IF(S89&gt;0,1.048,IF(R89&gt;0,1.048,IF(Q89&gt;0,1.036,0.907+1.55*(P89/N89)-4.449*(P89/N89)^2)))</f>
        <v>1.048</v>
      </c>
      <c r="U89" s="39">
        <v>1550</v>
      </c>
      <c r="V89" s="40">
        <f>IF(H89="x",75+U89,IF(M89&lt;6.66,150+U89,-1.7384*M89^2+92.38*M89-388+U89))</f>
        <v>1805.81515</v>
      </c>
      <c r="W89" s="5">
        <v>3.9</v>
      </c>
      <c r="X89" s="5">
        <v>3.7</v>
      </c>
      <c r="Y89" s="5">
        <v>3.22</v>
      </c>
      <c r="Z89" s="5">
        <v>2.42</v>
      </c>
      <c r="AA89" s="5">
        <v>0.8100000000000001</v>
      </c>
      <c r="AB89" s="5"/>
      <c r="AC89" s="5">
        <v>10.13</v>
      </c>
      <c r="AD89" s="33"/>
      <c r="AE89" s="5">
        <f>IF(AD89=0,(W89+4*X89+2*Y89+4*Z89+AA89)*AC89/12+W89*AB89/1.5,AD89)</f>
        <v>30.07765833333334</v>
      </c>
      <c r="AF89" s="11">
        <v>11.28</v>
      </c>
      <c r="AG89" s="11"/>
      <c r="AH89" s="5">
        <f>IF(AC89=0,AE89+AF89*AG89/2,AE89+AC89*AG89/2)</f>
        <v>30.07765833333334</v>
      </c>
      <c r="AI89" s="5">
        <v>9.85</v>
      </c>
      <c r="AJ89" s="5">
        <v>2.99</v>
      </c>
      <c r="AK89" s="33"/>
      <c r="AL89" s="5">
        <f>IF(AK89=0,AI89*AJ89/2,AK89)</f>
        <v>14.72575</v>
      </c>
      <c r="AM89" t="s" s="19">
        <v>154</v>
      </c>
      <c r="AN89" s="5"/>
      <c r="AO89" s="5"/>
      <c r="AP89" s="5">
        <f>AL89+AI89*(AN89-AO89)/2</f>
        <v>14.72575</v>
      </c>
      <c r="AQ89" s="5">
        <f>0.1*(AE89+AL89)</f>
        <v>4.480340833333334</v>
      </c>
      <c r="AR89" s="11">
        <v>11.28</v>
      </c>
      <c r="AS89" s="11"/>
      <c r="AT89" s="11"/>
      <c r="AU89" s="11"/>
      <c r="AV89" s="33"/>
      <c r="AW89" s="5">
        <f>IF(AV89=0,AS89/6*(AT89+AU89*4),AV89)</f>
        <v>0</v>
      </c>
      <c r="AX89" s="11">
        <v>1.8</v>
      </c>
      <c r="AY89" s="5">
        <f>IF(AX89&lt;0.149*M89+0.329,1,AX89/(0.149*M89+0.329))</f>
        <v>1.155141986202471</v>
      </c>
      <c r="AZ89" s="5">
        <f>IF(AW89*AY89&gt;AL89,(AW89*AY89-AL89)/4,0)</f>
        <v>0</v>
      </c>
      <c r="BA89" s="12">
        <f>0.401+0.1831*(2*AR89^2/(AH89+AP89+AZ89))-0.02016*(2*AR89^2/(AH89+AP89+AZ89))^2+0.0007472*(2*AR89^2/(AH89+AP89+AZ89))^3</f>
        <v>0.9275188733408972</v>
      </c>
      <c r="BB89" s="5">
        <v>7.87</v>
      </c>
      <c r="BC89" s="5">
        <v>11.89</v>
      </c>
      <c r="BD89" s="5">
        <v>10.09</v>
      </c>
      <c r="BE89" s="5">
        <v>6.89</v>
      </c>
      <c r="BF89" s="33"/>
      <c r="BG89" s="5">
        <f>IF(BF89=0,(BC89+BD89)*(BB89/12+BE89/3),BF89)</f>
        <v>64.89595</v>
      </c>
      <c r="BH89" s="5">
        <f>IF(BG89*AY89&gt;AL89+AZ89,BG89*AY89-AL89-AZ89,0)</f>
        <v>60.23828657949624</v>
      </c>
      <c r="BI89" s="5">
        <f>IF(M89/1.6&lt;8,ROUND(M89/1.6,0),8)</f>
        <v>5</v>
      </c>
      <c r="BJ89" s="5">
        <f>(AH89+AP89+AZ89)*BA89+0.1*BH89</f>
        <v>47.57983547711513</v>
      </c>
      <c r="BK89" s="11">
        <v>1.65</v>
      </c>
      <c r="BL89" s="5">
        <f>M89*0.2</f>
        <v>1.65</v>
      </c>
      <c r="BM89" s="5">
        <f>ROUNDDOWN(M89/2.13,0)</f>
        <v>3</v>
      </c>
      <c r="BN89" s="12">
        <f>M89/4.26</f>
        <v>1.936619718309859</v>
      </c>
      <c r="BO89" s="5">
        <f>IF(M89&lt;8,1.22,IF(M89&lt;15.2,0.108333*M89+0.353,2))</f>
        <v>1.24674725</v>
      </c>
      <c r="BP89" s="12">
        <f>IF(BK89&lt;BO89,1+0.3*(BO89-BK89)/M89,1)</f>
        <v>1</v>
      </c>
      <c r="BQ89" s="39">
        <v>5.5</v>
      </c>
      <c r="BR89" s="39">
        <v>1</v>
      </c>
      <c r="BS89" t="s" s="24">
        <v>154</v>
      </c>
      <c r="BT89" s="36"/>
      <c r="BU89" s="36"/>
      <c r="BV89" s="5">
        <f>IF(BQ89&lt;(M89/0.3048)^0.5,1,IF(BU89="x",1-BR89*0.02,IF(BT89="x",1-BR89*0.01,1)))</f>
        <v>1</v>
      </c>
      <c r="BW89" s="12">
        <f>IF(K89="x",MIN(1.315,1.28+U89*N89/BJ89/AR89/1100),IF(L89="x",1.28,MAX(1.245,1.28-U89*N89/BJ89/AR89/1100)))</f>
        <v>1.301502595200545</v>
      </c>
      <c r="BX89" s="41">
        <f>BW89*T89*BV89*BP89*N89^0.3*BJ89^0.4/V89^0.325</f>
        <v>1.050368879737734</v>
      </c>
      <c r="BY89" s="29"/>
      <c r="BZ89" s="29"/>
      <c r="CA89" t="s" s="19">
        <v>705</v>
      </c>
      <c r="CB89" t="s" s="19">
        <v>598</v>
      </c>
      <c r="CC89" t="s" s="19">
        <v>254</v>
      </c>
      <c r="CD89" s="3"/>
      <c r="CE89" s="3"/>
      <c r="CF89" s="3"/>
      <c r="CG89" t="s" s="30">
        <f>A89</f>
        <v>706</v>
      </c>
    </row>
    <row r="90" ht="12.75" customHeight="1">
      <c r="A90" t="s" s="25">
        <v>707</v>
      </c>
      <c r="B90" t="s" s="19">
        <v>708</v>
      </c>
      <c r="C90" t="s" s="19">
        <v>709</v>
      </c>
      <c r="D90" t="s" s="19">
        <v>710</v>
      </c>
      <c r="E90" s="3"/>
      <c r="F90" s="3"/>
      <c r="G90" s="3"/>
      <c r="H90" s="32"/>
      <c r="I90" s="32"/>
      <c r="J90" s="36"/>
      <c r="K90" t="s" s="24">
        <v>154</v>
      </c>
      <c r="L90" s="36"/>
      <c r="M90" s="11">
        <v>7.99</v>
      </c>
      <c r="N90" s="5">
        <v>7.99</v>
      </c>
      <c r="O90" s="11"/>
      <c r="P90" s="11"/>
      <c r="Q90" s="37"/>
      <c r="R90" t="s" s="24">
        <v>161</v>
      </c>
      <c r="S90" s="36"/>
      <c r="T90" s="38">
        <f>IF(S90&gt;0,1.048,IF(R90&gt;0,1.048,IF(Q90&gt;0,1.036,0.907+1.55*(P90/N90)-4.449*(P90/N90)^2)))</f>
        <v>1.048</v>
      </c>
      <c r="U90" s="39">
        <v>1346</v>
      </c>
      <c r="V90" s="40">
        <f>IF(H90="x",75+U90,IF(M90&lt;6.66,150+U90,-1.7384*M90^2+92.38*M90-388+U90))</f>
        <v>1585.13657016</v>
      </c>
      <c r="W90" s="5"/>
      <c r="X90" s="5"/>
      <c r="Y90" s="5"/>
      <c r="Z90" s="5"/>
      <c r="AA90" s="5"/>
      <c r="AB90" s="5"/>
      <c r="AC90" s="5"/>
      <c r="AD90" s="33">
        <v>29.69</v>
      </c>
      <c r="AE90" s="5">
        <f>IF(AD90=0,(W90+4*X90+2*Y90+4*Z90+AA90)*AC90/12+W90*AB90/1.5,AD90)</f>
        <v>29.69</v>
      </c>
      <c r="AF90" s="11"/>
      <c r="AG90" s="11"/>
      <c r="AH90" s="5">
        <f>IF(AC90=0,AE90+AF90*AG90/2,AE90+AC90*AG90/2)</f>
        <v>29.69</v>
      </c>
      <c r="AI90" s="3"/>
      <c r="AJ90" s="3"/>
      <c r="AK90" s="33">
        <v>9.880000000000001</v>
      </c>
      <c r="AL90" s="5">
        <f>IF(AK90=0,AI90*AJ90/2,AK90)</f>
        <v>9.880000000000001</v>
      </c>
      <c r="AM90" s="3"/>
      <c r="AN90" s="5"/>
      <c r="AO90" s="5"/>
      <c r="AP90" s="5">
        <f>AL90+AI90*(AN90-AO90)/2</f>
        <v>9.880000000000001</v>
      </c>
      <c r="AQ90" s="5">
        <f>0.1*(AE90+AL90)</f>
        <v>3.957</v>
      </c>
      <c r="AR90" s="11">
        <v>12</v>
      </c>
      <c r="AS90" s="11"/>
      <c r="AT90" s="11"/>
      <c r="AU90" s="11"/>
      <c r="AV90" s="33"/>
      <c r="AW90" s="5">
        <f>IF(AV90=0,AS90/6*(AT90+AU90*4),AV90)</f>
        <v>0</v>
      </c>
      <c r="AX90" s="11"/>
      <c r="AY90" s="5">
        <f>IF(AX90&lt;0.149*M90+0.329,1,AX90/(0.149*M90+0.329))</f>
        <v>1</v>
      </c>
      <c r="AZ90" s="5">
        <f>IF(AW90*AY90&gt;AL90,(AW90*AY90-AL90)/4,0)</f>
        <v>0</v>
      </c>
      <c r="BA90" s="12">
        <f>0.401+0.1831*(2*AR90^2/(AH90+AP90+AZ90))-0.02016*(2*AR90^2/(AH90+AP90+AZ90))^2+0.0007472*(2*AR90^2/(AH90+AP90+AZ90))^3</f>
        <v>0.9537964638266767</v>
      </c>
      <c r="BB90" s="3"/>
      <c r="BC90" s="3"/>
      <c r="BD90" s="3"/>
      <c r="BE90" s="3"/>
      <c r="BF90" s="33">
        <v>47.56</v>
      </c>
      <c r="BG90" s="5">
        <f>IF(BF90=0,(BC90+BD90)*(BB90/12+BE90/3),BF90)</f>
        <v>47.56</v>
      </c>
      <c r="BH90" s="5">
        <f>IF(BG90*AY90&gt;AL90+AZ90,BG90*AY90-AL90-AZ90,0)</f>
        <v>37.68</v>
      </c>
      <c r="BI90" s="5">
        <f>IF(M90/1.6&lt;8,ROUND(M90/1.6,0),8)</f>
        <v>5</v>
      </c>
      <c r="BJ90" s="5">
        <f>(AH90+AP90+AZ90)*BA90+0.1*BH90</f>
        <v>41.5097260736216</v>
      </c>
      <c r="BK90" s="11">
        <v>1.9</v>
      </c>
      <c r="BL90" s="5">
        <f>M90*0.2</f>
        <v>1.598</v>
      </c>
      <c r="BM90" s="5">
        <f>ROUNDDOWN(M90/2.13,0)</f>
        <v>3</v>
      </c>
      <c r="BN90" s="12">
        <f>M90/4.26</f>
        <v>1.875586854460094</v>
      </c>
      <c r="BO90" s="5">
        <f>IF(M90&lt;8,1.22,IF(M90&lt;15.2,0.108333*M90+0.353,2))</f>
        <v>1.22</v>
      </c>
      <c r="BP90" s="12">
        <f>IF(BK90&lt;BO90,1+0.3*(BO90-BK90)/M90,1)</f>
        <v>1</v>
      </c>
      <c r="BQ90" s="32"/>
      <c r="BR90" s="39">
        <v>0</v>
      </c>
      <c r="BS90" t="s" s="24">
        <v>154</v>
      </c>
      <c r="BT90" s="36"/>
      <c r="BU90" s="36"/>
      <c r="BV90" s="5">
        <f>IF(BQ90&lt;(M90/0.3048)^0.5,1,IF(BU90="x",1-BR90*0.02,IF(BT90="x",1-BR90*0.01,1)))</f>
        <v>1</v>
      </c>
      <c r="BW90" s="12">
        <f>IF(K90="x",MIN(1.315,1.28+U90*N90/BJ90/AR90/1100),IF(L90="x",1.28,MAX(1.245,1.28-U90*N90/BJ90/AR90/1100)))</f>
        <v>1.299627638046632</v>
      </c>
      <c r="BX90" s="41">
        <f>BW90*T90*BV90*BP90*N90^0.3*BJ90^0.4/V90^0.325</f>
        <v>1.02844845276552</v>
      </c>
      <c r="BY90" s="29"/>
      <c r="BZ90" s="29"/>
      <c r="CA90" t="s" s="19">
        <v>162</v>
      </c>
      <c r="CB90" t="s" s="19">
        <v>711</v>
      </c>
      <c r="CC90" t="s" s="19">
        <v>164</v>
      </c>
      <c r="CD90" s="3"/>
      <c r="CE90" s="3"/>
      <c r="CF90" s="3"/>
      <c r="CG90" t="s" s="30">
        <f>A90</f>
        <v>712</v>
      </c>
    </row>
    <row r="91" ht="12.75" customHeight="1">
      <c r="A91" t="s" s="25">
        <v>713</v>
      </c>
      <c r="B91" t="s" s="19">
        <v>708</v>
      </c>
      <c r="C91" t="s" s="19">
        <v>709</v>
      </c>
      <c r="D91" t="s" s="19">
        <v>710</v>
      </c>
      <c r="E91" t="s" s="19">
        <v>714</v>
      </c>
      <c r="F91" s="3"/>
      <c r="G91" s="3"/>
      <c r="H91" s="32"/>
      <c r="I91" s="32"/>
      <c r="J91" s="36"/>
      <c r="K91" t="s" s="24">
        <v>154</v>
      </c>
      <c r="L91" s="36"/>
      <c r="M91" s="11">
        <v>7.99</v>
      </c>
      <c r="N91" s="5">
        <v>7.99</v>
      </c>
      <c r="O91" s="11"/>
      <c r="P91" s="11"/>
      <c r="Q91" s="37"/>
      <c r="R91" t="s" s="24">
        <v>161</v>
      </c>
      <c r="S91" s="36"/>
      <c r="T91" s="38">
        <f>IF(S91&gt;0,1.048,IF(R91&gt;0,1.048,IF(Q91&gt;0,1.036,0.907+1.55*(P91/N91)-4.449*(P91/N91)^2)))</f>
        <v>1.048</v>
      </c>
      <c r="U91" s="39">
        <v>1650</v>
      </c>
      <c r="V91" s="40">
        <f>IF(H91="x",75+U91,IF(M91&lt;6.66,150+U91,-1.7384*M91^2+92.38*M91-388+U91))</f>
        <v>1889.13657016</v>
      </c>
      <c r="W91" s="5"/>
      <c r="X91" s="5"/>
      <c r="Y91" s="5"/>
      <c r="Z91" s="5"/>
      <c r="AA91" s="5"/>
      <c r="AB91" s="5"/>
      <c r="AC91" s="5"/>
      <c r="AD91" s="33">
        <v>35.45</v>
      </c>
      <c r="AE91" s="5">
        <f>IF(AD91=0,(W91+4*X91+2*Y91+4*Z91+AA91)*AC91/12+W91*AB91/1.5,AD91)</f>
        <v>35.45</v>
      </c>
      <c r="AF91" s="11"/>
      <c r="AG91" s="11"/>
      <c r="AH91" s="5">
        <f>IF(AC91=0,AE91+AF91*AG91/2,AE91+AC91*AG91/2)</f>
        <v>35.45</v>
      </c>
      <c r="AI91" s="3"/>
      <c r="AJ91" s="3"/>
      <c r="AK91" s="33">
        <v>11.26</v>
      </c>
      <c r="AL91" s="5">
        <f>IF(AK91=0,AI91*AJ91/2,AK91)</f>
        <v>11.26</v>
      </c>
      <c r="AM91" s="3"/>
      <c r="AN91" s="5"/>
      <c r="AO91" s="5"/>
      <c r="AP91" s="5">
        <f>AL91+AI91*(AN91-AO91)/2</f>
        <v>11.26</v>
      </c>
      <c r="AQ91" s="5">
        <f>0.1*(AE91+AL91)</f>
        <v>4.671</v>
      </c>
      <c r="AR91" s="11">
        <v>12.5</v>
      </c>
      <c r="AS91" s="11"/>
      <c r="AT91" s="11"/>
      <c r="AU91" s="11"/>
      <c r="AV91" s="33">
        <v>43.85</v>
      </c>
      <c r="AW91" s="5">
        <f>IF(AV91=0,AS91/6*(AT91+AU91*4),AV91)</f>
        <v>43.85</v>
      </c>
      <c r="AX91" s="11"/>
      <c r="AY91" s="5">
        <f>IF(AX91&lt;0.149*M91+0.329,1,AX91/(0.149*M91+0.329))</f>
        <v>1</v>
      </c>
      <c r="AZ91" s="5">
        <f>IF(AW91*AY91&gt;AL91,(AW91*AY91-AL91)/4,0)</f>
        <v>8.147500000000001</v>
      </c>
      <c r="BA91" s="12">
        <f>0.401+0.1831*(2*AR91^2/(AH91+AP91+AZ91))-0.02016*(2*AR91^2/(AH91+AP91+AZ91))^2+0.0007472*(2*AR91^2/(AH91+AP91+AZ91))^3</f>
        <v>0.9279583766310538</v>
      </c>
      <c r="BB91" s="3"/>
      <c r="BC91" s="3"/>
      <c r="BD91" s="3"/>
      <c r="BE91" s="3"/>
      <c r="BF91" s="33"/>
      <c r="BG91" s="5">
        <f>IF(BF91=0,(BC91+BD91)*(BB91/12+BE91/3),BF91)</f>
        <v>0</v>
      </c>
      <c r="BH91" s="5">
        <f>IF(BG91*AY91&gt;AL91+AZ91,BG91*AY91-AL91-AZ91,0)</f>
        <v>0</v>
      </c>
      <c r="BI91" s="5">
        <f>IF(M91/1.6&lt;8,ROUND(M91/1.6,0),8)</f>
        <v>5</v>
      </c>
      <c r="BJ91" s="5">
        <f>(AH91+AP91+AZ91)*BA91+0.1*BH91</f>
        <v>50.90547664603804</v>
      </c>
      <c r="BK91" s="11">
        <v>1.9</v>
      </c>
      <c r="BL91" s="5">
        <f>M91*0.2</f>
        <v>1.598</v>
      </c>
      <c r="BM91" s="5">
        <f>ROUNDDOWN(M91/2.13,0)</f>
        <v>3</v>
      </c>
      <c r="BN91" s="12">
        <f>M91/4.26</f>
        <v>1.875586854460094</v>
      </c>
      <c r="BO91" s="5">
        <f>IF(M91&lt;8,1.22,IF(M91&lt;15.2,0.108333*M91+0.353,2))</f>
        <v>1.22</v>
      </c>
      <c r="BP91" s="12">
        <f>IF(BK91&lt;BO91,1+0.3*(BO91-BK91)/M91,1)</f>
        <v>1</v>
      </c>
      <c r="BQ91" s="32"/>
      <c r="BR91" s="39">
        <v>0</v>
      </c>
      <c r="BS91" t="s" s="24">
        <v>154</v>
      </c>
      <c r="BT91" s="36"/>
      <c r="BU91" s="36"/>
      <c r="BV91" s="5">
        <f>IF(BQ91&lt;(M91/0.3048)^0.5,1,IF(BU91="x",1-BR91*0.02,IF(BT91="x",1-BR91*0.01,1)))</f>
        <v>1</v>
      </c>
      <c r="BW91" s="12">
        <f>IF(K91="x",MIN(1.315,1.28+U91*N91/BJ91/AR91/1100),IF(L91="x",1.28,MAX(1.245,1.28-U91*N91/BJ91/AR91/1100)))</f>
        <v>1.298834908602602</v>
      </c>
      <c r="BX91" s="41">
        <f>BW91*T91*BV91*BP91*N91^0.3*BJ91^0.4/V91^0.325</f>
        <v>1.053414960500805</v>
      </c>
      <c r="BY91" s="29"/>
      <c r="BZ91" s="29"/>
      <c r="CA91" t="s" s="19">
        <v>162</v>
      </c>
      <c r="CB91" t="s" s="19">
        <v>711</v>
      </c>
      <c r="CC91" t="s" s="19">
        <v>164</v>
      </c>
      <c r="CD91" s="3"/>
      <c r="CE91" s="3"/>
      <c r="CF91" s="3"/>
      <c r="CG91" t="s" s="30">
        <f>A91</f>
        <v>715</v>
      </c>
    </row>
    <row r="92" ht="12.75" customHeight="1">
      <c r="A92" t="s" s="25">
        <v>716</v>
      </c>
      <c r="B92" t="s" s="19">
        <v>217</v>
      </c>
      <c r="C92" t="s" s="19">
        <v>218</v>
      </c>
      <c r="D92" t="s" s="19">
        <v>219</v>
      </c>
      <c r="E92" t="s" s="19">
        <v>717</v>
      </c>
      <c r="F92" s="3"/>
      <c r="G92" s="3"/>
      <c r="H92" s="32"/>
      <c r="I92" s="32"/>
      <c r="J92" t="s" s="24">
        <v>154</v>
      </c>
      <c r="K92" s="36"/>
      <c r="L92" s="36"/>
      <c r="M92" s="11">
        <v>14.3</v>
      </c>
      <c r="N92" s="5">
        <v>14.3</v>
      </c>
      <c r="O92" s="11">
        <v>7.5</v>
      </c>
      <c r="P92" s="11"/>
      <c r="Q92" s="37"/>
      <c r="R92" t="s" s="24">
        <v>221</v>
      </c>
      <c r="S92" s="36"/>
      <c r="T92" s="38">
        <f>IF(S92&gt;0,1.048,IF(R92&gt;0,1.048,IF(Q92&gt;0,1.036,0.907+1.55*(P92/N92)-4.449*(P92/N92)^2)))</f>
        <v>1.048</v>
      </c>
      <c r="U92" s="39">
        <v>8900</v>
      </c>
      <c r="V92" s="40">
        <f>IF(H92="x",75+U92,IF(M92&lt;6.66,150+U92,-1.7384*M92^2+92.38*M92-388+U92))</f>
        <v>9477.548584</v>
      </c>
      <c r="W92" s="5"/>
      <c r="X92" s="5"/>
      <c r="Y92" s="5"/>
      <c r="Z92" s="5"/>
      <c r="AA92" s="5"/>
      <c r="AB92" s="5"/>
      <c r="AC92" s="5">
        <v>17.8</v>
      </c>
      <c r="AD92" s="33">
        <v>80</v>
      </c>
      <c r="AE92" s="5">
        <f>IF(AD92=0,(W92+4*X92+2*Y92+4*Z92+AA92)*AC92/12+W92*AB92/1.5,AD92)</f>
        <v>80</v>
      </c>
      <c r="AF92" s="11">
        <v>19.5</v>
      </c>
      <c r="AG92" s="11"/>
      <c r="AH92" s="5">
        <f>IF(AC92=0,AE92+AF92*AG92/2,AE92+AC92*AG92/2)</f>
        <v>80</v>
      </c>
      <c r="AI92" s="3"/>
      <c r="AJ92" s="3"/>
      <c r="AK92" s="33">
        <v>57</v>
      </c>
      <c r="AL92" s="5">
        <f>IF(AK92=0,AI92*AJ92/2,AK92)</f>
        <v>57</v>
      </c>
      <c r="AM92" s="3"/>
      <c r="AN92" s="5"/>
      <c r="AO92" s="5"/>
      <c r="AP92" s="5">
        <f>AL92+AI92*(AN92-AO92)/2</f>
        <v>57</v>
      </c>
      <c r="AQ92" s="5">
        <f>0.1*(AE92+AL92)</f>
        <v>13.7</v>
      </c>
      <c r="AR92" s="11">
        <v>19.5</v>
      </c>
      <c r="AS92" s="11"/>
      <c r="AT92" s="11"/>
      <c r="AU92" s="11"/>
      <c r="AV92" s="33"/>
      <c r="AW92" s="5">
        <f>IF(AV92=0,AS92/6*(AT92+AU92*4),AV92)</f>
        <v>0</v>
      </c>
      <c r="AX92" s="11">
        <v>0</v>
      </c>
      <c r="AY92" s="5">
        <f>IF(AX92&lt;0.149*M92+0.329,1,AX92/(0.149*M92+0.329))</f>
        <v>1</v>
      </c>
      <c r="AZ92" s="5">
        <f>IF(AW92*AY92&gt;AL92,(AW92*AY92-AL92)/4,0)</f>
        <v>0</v>
      </c>
      <c r="BA92" s="12">
        <f>0.401+0.1831*(2*AR92^2/(AH92+AP92+AZ92))-0.02016*(2*AR92^2/(AH92+AP92+AZ92))^2+0.0007472*(2*AR92^2/(AH92+AP92+AZ92))^3</f>
        <v>0.9239943891590926</v>
      </c>
      <c r="BB92" s="3"/>
      <c r="BC92" s="3"/>
      <c r="BD92" s="3"/>
      <c r="BE92" s="3"/>
      <c r="BF92" s="33">
        <v>150</v>
      </c>
      <c r="BG92" s="5">
        <f>IF(BF92=0,(BC92+BD92)*(BB92/12+BE92/3),BF92)</f>
        <v>150</v>
      </c>
      <c r="BH92" s="5">
        <f>IF(BG92*AY92&gt;AL92+AZ92,BG92*AY92-AL92-AZ92,0)</f>
        <v>93</v>
      </c>
      <c r="BI92" s="42">
        <f>IF(M92/1.6&lt;8,ROUND(M92/1.6,0),8)</f>
        <v>8</v>
      </c>
      <c r="BJ92" s="5">
        <f>(AH92+AP92+AZ92)*BA92+0.1*BH92</f>
        <v>135.8872313147957</v>
      </c>
      <c r="BK92" s="11">
        <v>1.95</v>
      </c>
      <c r="BL92" s="5">
        <f>M92*0.2</f>
        <v>2.86</v>
      </c>
      <c r="BM92" s="5">
        <f>ROUNDDOWN(M92/2.13,0)</f>
        <v>6</v>
      </c>
      <c r="BN92" s="12">
        <f>M92/4.26</f>
        <v>3.356807511737089</v>
      </c>
      <c r="BO92" s="5">
        <f>IF(M92&lt;8,1.22,IF(M92&lt;15.2,0.108333*M92+0.353,2))</f>
        <v>1.9021619</v>
      </c>
      <c r="BP92" s="12">
        <f>IF(BK92&lt;BO92,1+0.3*(BO92-BK92)/M92,1)</f>
        <v>1</v>
      </c>
      <c r="BQ92" s="39">
        <v>7</v>
      </c>
      <c r="BR92" s="39">
        <v>2</v>
      </c>
      <c r="BS92" s="36"/>
      <c r="BT92" t="s" s="24">
        <v>154</v>
      </c>
      <c r="BU92" s="36"/>
      <c r="BV92" s="5">
        <f>IF(BQ92&lt;(M92/0.3048)^0.5,1,IF(BU92="x",1-BR92*0.02,IF(BT92="x",1-BR92*0.01,1)))</f>
        <v>0.98</v>
      </c>
      <c r="BW92" s="12">
        <f>IF(K92="x",MIN(1.315,1.28+U92*N92/BJ92/AR92/1100),IF(L92="x",1.28,MAX(1.245,1.28-U92*N92/BJ92/AR92/1100)))</f>
        <v>1.245</v>
      </c>
      <c r="BX92" s="41">
        <f>BW92*T92*BV92*BP92*N92^0.3*BJ92^0.4/V92^0.325</f>
        <v>1.033243720903828</v>
      </c>
      <c r="BY92" s="29"/>
      <c r="BZ92" s="29"/>
      <c r="CA92" t="s" s="19">
        <v>162</v>
      </c>
      <c r="CB92" t="s" s="19">
        <v>370</v>
      </c>
      <c r="CC92" t="s" s="19">
        <v>164</v>
      </c>
      <c r="CD92" t="s" s="19">
        <v>718</v>
      </c>
      <c r="CE92" s="3"/>
      <c r="CF92" s="3"/>
      <c r="CG92" t="s" s="30">
        <f>A92</f>
        <v>719</v>
      </c>
    </row>
    <row r="93" ht="12.75" customHeight="1">
      <c r="A93" t="s" s="25">
        <v>720</v>
      </c>
      <c r="B93" t="s" s="19">
        <v>721</v>
      </c>
      <c r="C93" s="3"/>
      <c r="D93" t="s" s="19">
        <v>710</v>
      </c>
      <c r="E93" t="s" s="19">
        <v>722</v>
      </c>
      <c r="F93" s="3"/>
      <c r="G93" s="3"/>
      <c r="H93" s="32"/>
      <c r="I93" s="32"/>
      <c r="J93" s="36"/>
      <c r="K93" t="s" s="24">
        <v>154</v>
      </c>
      <c r="L93" s="36"/>
      <c r="M93" s="11">
        <v>7.99</v>
      </c>
      <c r="N93" s="5">
        <v>7.99</v>
      </c>
      <c r="O93" s="11"/>
      <c r="P93" s="11"/>
      <c r="Q93" s="37"/>
      <c r="R93" t="s" s="24">
        <v>161</v>
      </c>
      <c r="S93" s="36"/>
      <c r="T93" s="38">
        <f>IF(S93&gt;0,1.048,IF(R93&gt;0,1.048,IF(Q93&gt;0,1.036,0.907+1.55*(P93/N93)-4.449*(P93/N93)^2)))</f>
        <v>1.048</v>
      </c>
      <c r="U93" s="39">
        <v>1800</v>
      </c>
      <c r="V93" s="40">
        <f>IF(H93="x",75+U93,IF(M93&lt;6.66,150+U93,-1.7384*M93^2+92.38*M93-388+U93))</f>
        <v>2039.13657016</v>
      </c>
      <c r="W93" s="5"/>
      <c r="X93" s="5"/>
      <c r="Y93" s="5"/>
      <c r="Z93" s="5"/>
      <c r="AA93" s="5"/>
      <c r="AB93" s="5"/>
      <c r="AC93" s="5"/>
      <c r="AD93" s="33">
        <v>37.5</v>
      </c>
      <c r="AE93" s="5">
        <f>IF(AD93=0,(W93+4*X93+2*Y93+4*Z93+AA93)*AC93/12+W93*AB93/1.5,AD93)</f>
        <v>37.5</v>
      </c>
      <c r="AF93" s="11">
        <v>12.5</v>
      </c>
      <c r="AG93" s="11"/>
      <c r="AH93" s="5">
        <f>IF(AC93=0,AE93+AF93*AG93/2,AE93+AC93*AG93/2)</f>
        <v>37.5</v>
      </c>
      <c r="AI93" s="3"/>
      <c r="AJ93" s="3"/>
      <c r="AK93" s="33">
        <v>13</v>
      </c>
      <c r="AL93" s="5">
        <f>IF(AK93=0,AI93*AJ93/2,AK93)</f>
        <v>13</v>
      </c>
      <c r="AM93" s="3"/>
      <c r="AN93" s="5"/>
      <c r="AO93" s="5"/>
      <c r="AP93" s="5">
        <f>AL93+AI93*(AN93-AO93)/2</f>
        <v>13</v>
      </c>
      <c r="AQ93" s="5">
        <f>0.1*(AE93+AL93)</f>
        <v>5.050000000000001</v>
      </c>
      <c r="AR93" s="11">
        <v>13</v>
      </c>
      <c r="AS93" s="11"/>
      <c r="AT93" s="11"/>
      <c r="AU93" s="11"/>
      <c r="AV93" s="33">
        <v>38</v>
      </c>
      <c r="AW93" s="5">
        <f>IF(AV93=0,AS93/6*(AT93+AU93*4),AV93)</f>
        <v>38</v>
      </c>
      <c r="AX93" s="11">
        <v>1</v>
      </c>
      <c r="AY93" s="5">
        <f>IF(AX93&lt;0.149*M93+0.329,1,AX93/(0.149*M93+0.329))</f>
        <v>1</v>
      </c>
      <c r="AZ93" s="5">
        <f>IF(AW93*AY93&gt;AL93,(AW93*AY93-AL93)/4,0)</f>
        <v>6.25</v>
      </c>
      <c r="BA93" s="12">
        <f>0.401+0.1831*(2*AR93^2/(AH93+AP93+AZ93))-0.02016*(2*AR93^2/(AH93+AP93+AZ93))^2+0.0007472*(2*AR93^2/(AH93+AP93+AZ93))^3</f>
        <v>0.9342583426259008</v>
      </c>
      <c r="BB93" s="3"/>
      <c r="BC93" s="3"/>
      <c r="BD93" s="3"/>
      <c r="BE93" s="3"/>
      <c r="BF93" s="33"/>
      <c r="BG93" s="5">
        <f>IF(BF93=0,(BC93+BD93)*(BB93/12+BE93/3),BF93)</f>
        <v>0</v>
      </c>
      <c r="BH93" s="5">
        <f>IF(BG93*AY93&gt;AL93+AZ93,BG93*AY93-AL93-AZ93,0)</f>
        <v>0</v>
      </c>
      <c r="BI93" s="5">
        <f>IF(M93/1.6&lt;8,ROUND(M93/1.6,0),8)</f>
        <v>5</v>
      </c>
      <c r="BJ93" s="5">
        <f>(AH93+AP93+AZ93)*BA93+0.1*BH93</f>
        <v>53.01916094401987</v>
      </c>
      <c r="BK93" s="11">
        <v>1.91</v>
      </c>
      <c r="BL93" s="5">
        <f>M93*0.2</f>
        <v>1.598</v>
      </c>
      <c r="BM93" s="5">
        <f>ROUNDDOWN(M93/2.13,0)</f>
        <v>3</v>
      </c>
      <c r="BN93" s="12">
        <f>M93/4.26</f>
        <v>1.875586854460094</v>
      </c>
      <c r="BO93" s="5">
        <f>IF(M93&lt;8,1.22,IF(M93&lt;15.2,0.108333*M93+0.353,2))</f>
        <v>1.22</v>
      </c>
      <c r="BP93" s="12">
        <f>IF(BK93&lt;BO93,1+0.3*(BO93-BK93)/M93,1)</f>
        <v>1</v>
      </c>
      <c r="BQ93" s="32"/>
      <c r="BR93" s="39">
        <v>0</v>
      </c>
      <c r="BS93" t="s" s="24">
        <v>154</v>
      </c>
      <c r="BT93" s="36"/>
      <c r="BU93" s="36"/>
      <c r="BV93" s="5">
        <f>IF(BQ93&lt;(M93/0.3048)^0.5,1,IF(BU93="x",1-BR93*0.02,IF(BT93="x",1-BR93*0.01,1)))</f>
        <v>1</v>
      </c>
      <c r="BW93" s="12">
        <f>IF(K93="x",MIN(1.315,1.28+U93*N93/BJ93/AR93/1100),IF(L93="x",1.28,MAX(1.245,1.28-U93*N93/BJ93/AR93/1100)))</f>
        <v>1.298969260316967</v>
      </c>
      <c r="BX93" s="41">
        <f>BW93*T93*BV93*BP93*N93^0.3*BJ93^0.4/V93^0.325</f>
        <v>1.044545298251099</v>
      </c>
      <c r="BY93" s="29"/>
      <c r="BZ93" s="29"/>
      <c r="CA93" t="s" s="19">
        <v>162</v>
      </c>
      <c r="CB93" t="s" s="19">
        <v>723</v>
      </c>
      <c r="CC93" t="s" s="19">
        <v>180</v>
      </c>
      <c r="CD93" s="3"/>
      <c r="CE93" s="3"/>
      <c r="CF93" s="3"/>
      <c r="CG93" t="s" s="30">
        <f>A93</f>
        <v>724</v>
      </c>
    </row>
    <row r="94" ht="12.75" customHeight="1">
      <c r="A94" t="s" s="25">
        <v>725</v>
      </c>
      <c r="B94" t="s" s="19">
        <v>192</v>
      </c>
      <c r="C94" t="s" s="19">
        <v>193</v>
      </c>
      <c r="D94" t="s" s="19">
        <v>193</v>
      </c>
      <c r="E94" t="s" s="19">
        <v>726</v>
      </c>
      <c r="F94" t="s" s="19">
        <v>727</v>
      </c>
      <c r="G94" t="s" s="19">
        <v>728</v>
      </c>
      <c r="H94" s="32"/>
      <c r="I94" s="32"/>
      <c r="J94" s="36"/>
      <c r="K94" t="s" s="24">
        <v>154</v>
      </c>
      <c r="L94" s="36"/>
      <c r="M94" s="11">
        <v>9.199999999999999</v>
      </c>
      <c r="N94" s="5">
        <v>9.01</v>
      </c>
      <c r="O94" s="11">
        <v>7.8</v>
      </c>
      <c r="P94" s="11"/>
      <c r="Q94" s="37"/>
      <c r="R94" t="s" s="24">
        <v>197</v>
      </c>
      <c r="S94" s="36"/>
      <c r="T94" s="38">
        <f>IF(S94&gt;0,1.048,IF(R94&gt;0,1.048,IF(Q94&gt;0,1.036,0.907+1.55*(P94/N94)-4.449*(P94/N94)^2)))</f>
        <v>1.048</v>
      </c>
      <c r="U94" s="39">
        <v>2450</v>
      </c>
      <c r="V94" s="40">
        <f>IF(H94="x",75+U94,IF(M94&lt;6.66,150+U94,-1.7384*M94^2+92.38*M94-388+U94))</f>
        <v>2764.757824</v>
      </c>
      <c r="W94" s="5">
        <v>3.96</v>
      </c>
      <c r="X94" s="5">
        <v>3.88</v>
      </c>
      <c r="Y94" s="5">
        <v>3.64</v>
      </c>
      <c r="Z94" s="5">
        <v>3.01</v>
      </c>
      <c r="AA94" s="5">
        <v>0.31</v>
      </c>
      <c r="AB94" s="5"/>
      <c r="AC94" s="5">
        <v>13.28</v>
      </c>
      <c r="AD94" s="33"/>
      <c r="AE94" s="5">
        <f>IF(AD94=0,(W94+4*X94+2*Y94+4*Z94+AA94)*AC94/12+W94*AB94/1.5,AD94)</f>
        <v>43.28173333333334</v>
      </c>
      <c r="AF94" s="11">
        <v>14.6</v>
      </c>
      <c r="AG94" s="11"/>
      <c r="AH94" s="5">
        <f>IF(AC94=0,AE94+AF94*AG94/2,AE94+AC94*AG94/2)</f>
        <v>43.28173333333334</v>
      </c>
      <c r="AI94" s="5">
        <v>12.8</v>
      </c>
      <c r="AJ94" s="5">
        <v>4.06</v>
      </c>
      <c r="AK94" s="33"/>
      <c r="AL94" s="5">
        <f>IF(AK94=0,AI94*AJ94/2,AK94)</f>
        <v>25.984</v>
      </c>
      <c r="AM94" s="3"/>
      <c r="AN94" s="5"/>
      <c r="AO94" s="5">
        <v>0.18</v>
      </c>
      <c r="AP94" s="5">
        <f>AL94+AI94*(AN94-AO94)/2</f>
        <v>24.832</v>
      </c>
      <c r="AQ94" s="5">
        <f>0.1*(AE94+AL94)</f>
        <v>6.926573333333334</v>
      </c>
      <c r="AR94" s="11">
        <v>14.9</v>
      </c>
      <c r="AS94" s="11"/>
      <c r="AT94" s="11"/>
      <c r="AU94" s="11"/>
      <c r="AV94" s="33"/>
      <c r="AW94" s="5">
        <f>IF(AV94=0,AS94/6*(AT94+AU94*4),AV94)</f>
        <v>0</v>
      </c>
      <c r="AX94" s="11">
        <v>1.75</v>
      </c>
      <c r="AY94" s="5">
        <f>IF(AX94&lt;0.149*M94+0.329,1,AX94/(0.149*M94+0.329))</f>
        <v>1.029532886221909</v>
      </c>
      <c r="AZ94" s="5">
        <f>IF(AW94*AY94&gt;AL94,(AW94*AY94-AL94)/4,0)</f>
        <v>0</v>
      </c>
      <c r="BA94" s="12">
        <f>0.401+0.1831*(2*AR94^2/(AH94+AP94+AZ94))-0.02016*(2*AR94^2/(AH94+AP94+AZ94))^2+0.0007472*(2*AR94^2/(AH94+AP94+AZ94))^3</f>
        <v>0.9448835527165262</v>
      </c>
      <c r="BB94" s="3"/>
      <c r="BC94" s="3"/>
      <c r="BD94" s="3"/>
      <c r="BE94" s="3"/>
      <c r="BF94" s="33">
        <v>81.81</v>
      </c>
      <c r="BG94" s="5">
        <f>IF(BF94=0,(BC94+BD94)*(BB94/12+BE94/3),BF94)</f>
        <v>81.81</v>
      </c>
      <c r="BH94" s="5">
        <f>IF(BG94*AY94&gt;AL94+AZ94,BG94*AY94-AL94-AZ94,0)</f>
        <v>58.24208542181435</v>
      </c>
      <c r="BI94" s="5">
        <f>IF(M94/1.6&lt;8,ROUND(M94/1.6,0),8)</f>
        <v>6</v>
      </c>
      <c r="BJ94" s="5">
        <f>(AH94+AP94+AZ94)*BA94+0.1*BH94</f>
        <v>70.18375488296751</v>
      </c>
      <c r="BK94" s="11">
        <v>1.8</v>
      </c>
      <c r="BL94" s="5">
        <f>M94*0.2</f>
        <v>1.84</v>
      </c>
      <c r="BM94" s="5">
        <f>ROUNDDOWN(M94/2.13,0)</f>
        <v>4</v>
      </c>
      <c r="BN94" s="12">
        <f>M94/4.26</f>
        <v>2.15962441314554</v>
      </c>
      <c r="BO94" s="5">
        <f>IF(M94&lt;8,1.22,IF(M94&lt;15.2,0.108333*M94+0.353,2))</f>
        <v>1.3496636</v>
      </c>
      <c r="BP94" s="12">
        <f>IF(BK94&lt;BO94,1+0.3*(BO94-BK94)/M94,1)</f>
        <v>1</v>
      </c>
      <c r="BQ94" s="39">
        <v>5.5</v>
      </c>
      <c r="BR94" s="39">
        <v>1</v>
      </c>
      <c r="BS94" s="36"/>
      <c r="BT94" s="36"/>
      <c r="BU94" t="s" s="24">
        <v>154</v>
      </c>
      <c r="BV94" s="5">
        <f>IF(BQ94&lt;(M94/0.3048)^0.5,1,IF(BU94="x",1-BR94*0.02,IF(BT94="x",1-BR94*0.01,1)))</f>
        <v>0.98</v>
      </c>
      <c r="BW94" s="12">
        <f>IF(K94="x",MIN(1.315,1.28+U94*N94/BJ94/AR94/1100),IF(L94="x",1.28,MAX(1.245,1.28-U94*N94/BJ94/AR94/1100)))</f>
        <v>1.299190015353068</v>
      </c>
      <c r="BX94" s="41">
        <f>BW94*T94*BV94*BP94*N94^0.3*BJ94^0.4/V94^0.325</f>
        <v>1.075557303291188</v>
      </c>
      <c r="BY94" s="29"/>
      <c r="BZ94" s="29"/>
      <c r="CA94" t="s" s="19">
        <v>188</v>
      </c>
      <c r="CB94" t="s" s="19">
        <v>729</v>
      </c>
      <c r="CC94" t="s" s="19">
        <v>254</v>
      </c>
      <c r="CD94" s="3"/>
      <c r="CE94" s="3"/>
      <c r="CF94" s="3"/>
      <c r="CG94" t="s" s="30">
        <f>A94</f>
        <v>730</v>
      </c>
    </row>
    <row r="95" ht="12.75" customHeight="1">
      <c r="A95" t="s" s="25">
        <v>731</v>
      </c>
      <c r="B95" t="s" s="19">
        <v>732</v>
      </c>
      <c r="C95" t="s" s="19">
        <v>242</v>
      </c>
      <c r="D95" t="s" s="19">
        <v>733</v>
      </c>
      <c r="E95" t="s" s="19">
        <v>734</v>
      </c>
      <c r="F95" t="s" s="19">
        <v>735</v>
      </c>
      <c r="G95" s="3"/>
      <c r="H95" s="32"/>
      <c r="I95" s="32"/>
      <c r="J95" t="s" s="24">
        <v>154</v>
      </c>
      <c r="K95" s="36"/>
      <c r="L95" s="36"/>
      <c r="M95" s="11">
        <v>15.54</v>
      </c>
      <c r="N95" s="5">
        <v>14.5</v>
      </c>
      <c r="O95" s="11">
        <v>8.529999999999999</v>
      </c>
      <c r="P95" s="11">
        <v>1.4</v>
      </c>
      <c r="Q95" s="37"/>
      <c r="R95" s="36"/>
      <c r="S95" s="36"/>
      <c r="T95" s="38">
        <f>IF(S95&gt;0,1.048,IF(R95&gt;0,1.048,IF(Q95&gt;0,1.036,0.907+1.55*(P95/N95)-4.449*(P95/N95)^2)))</f>
        <v>1.015180546967895</v>
      </c>
      <c r="U95" s="39">
        <v>17070</v>
      </c>
      <c r="V95" s="40">
        <f>IF(H95="x",75+U95,IF(M95&lt;6.66,150+U95,-1.7384*M95^2+92.38*M95-388+U95))</f>
        <v>17697.77620256</v>
      </c>
      <c r="W95" s="5"/>
      <c r="X95" s="5"/>
      <c r="Y95" s="5"/>
      <c r="Z95" s="5"/>
      <c r="AA95" s="5"/>
      <c r="AB95" s="5"/>
      <c r="AC95" s="5"/>
      <c r="AD95" s="33">
        <v>92</v>
      </c>
      <c r="AE95" s="5">
        <f>IF(AD95=0,(W95+4*X95+2*Y95+4*Z95+AA95)*AC95/12+W95*AB95/1.5,AD95)</f>
        <v>92</v>
      </c>
      <c r="AF95" s="11">
        <v>24</v>
      </c>
      <c r="AG95" s="11"/>
      <c r="AH95" s="5">
        <f>IF(AC95=0,AE95+AF95*AG95/2,AE95+AC95*AG95/2)</f>
        <v>92</v>
      </c>
      <c r="AI95" s="3"/>
      <c r="AJ95" s="3"/>
      <c r="AK95" s="33">
        <v>62</v>
      </c>
      <c r="AL95" s="5">
        <f>IF(AK95=0,AI95*AJ95/2,AK95)</f>
        <v>62</v>
      </c>
      <c r="AM95" s="3"/>
      <c r="AN95" s="5"/>
      <c r="AO95" s="5">
        <v>0.22</v>
      </c>
      <c r="AP95" s="5">
        <f>AL95+AI95*(AN95-AO95)/2</f>
        <v>62</v>
      </c>
      <c r="AQ95" s="5">
        <f>0.1*(AE95+AL95)</f>
        <v>15.4</v>
      </c>
      <c r="AR95" s="11">
        <v>25</v>
      </c>
      <c r="AS95" s="11"/>
      <c r="AT95" s="11"/>
      <c r="AU95" s="11"/>
      <c r="AV95" s="33"/>
      <c r="AW95" s="5">
        <f>IF(AV95=0,AS95/6*(AT95+AU95*4),AV95)</f>
        <v>0</v>
      </c>
      <c r="AX95" s="11">
        <v>0</v>
      </c>
      <c r="AY95" s="5">
        <f>IF(AX95&lt;0.149*M95+0.329,1,AX95/(0.149*M95+0.329))</f>
        <v>1</v>
      </c>
      <c r="AZ95" s="5">
        <f>IF(AW95*AY95&gt;AL95,(AW95*AY95-AL95)/4,0)</f>
        <v>0</v>
      </c>
      <c r="BA95" s="12">
        <f>0.401+0.1831*(2*AR95^2/(AH95+AP95+AZ95))-0.02016*(2*AR95^2/(AH95+AP95+AZ95))^2+0.0007472*(2*AR95^2/(AH95+AP95+AZ95))^3</f>
        <v>0.9585649788733783</v>
      </c>
      <c r="BB95" s="3"/>
      <c r="BC95" s="3"/>
      <c r="BD95" s="3"/>
      <c r="BE95" s="3"/>
      <c r="BF95" s="33"/>
      <c r="BG95" s="5">
        <f>IF(BF95=0,(BC95+BD95)*(BB95/12+BE95/3),BF95)</f>
        <v>0</v>
      </c>
      <c r="BH95" s="5">
        <f>IF(BG95*AY95&gt;AL95+AZ95,BG95*AY95-AL95-AZ95,0)</f>
        <v>0</v>
      </c>
      <c r="BI95" s="42">
        <f>IF(M95/1.6&lt;8,ROUND(M95/1.6,0),8)</f>
        <v>8</v>
      </c>
      <c r="BJ95" s="5">
        <f>(AH95+AP95+AZ95)*BA95+0.1*BH95</f>
        <v>147.6190067465003</v>
      </c>
      <c r="BK95" s="11">
        <v>2.2</v>
      </c>
      <c r="BL95" s="5">
        <f>M95*0.2</f>
        <v>3.108</v>
      </c>
      <c r="BM95" s="5">
        <f>ROUNDDOWN(M95/2.13,0)</f>
        <v>7</v>
      </c>
      <c r="BN95" s="12">
        <f>M95/4.26</f>
        <v>3.647887323943662</v>
      </c>
      <c r="BO95" s="5">
        <f>IF(M95&lt;8,1.22,IF(M95&lt;15.2,0.108333*M95+0.353,2))</f>
        <v>2</v>
      </c>
      <c r="BP95" s="12">
        <f>IF(BK95&lt;BO95,1+0.3*(BO95-BK95)/M95,1)</f>
        <v>1</v>
      </c>
      <c r="BQ95" s="39">
        <v>9</v>
      </c>
      <c r="BR95" s="39">
        <v>2</v>
      </c>
      <c r="BS95" s="36"/>
      <c r="BT95" t="s" s="24">
        <v>154</v>
      </c>
      <c r="BU95" s="36"/>
      <c r="BV95" s="5">
        <f>IF(BQ95&lt;(M95/0.3048)^0.5,1,IF(BU95="x",1-BR95*0.02,IF(BT95="x",1-BR95*0.01,1)))</f>
        <v>0.98</v>
      </c>
      <c r="BW95" s="12">
        <f>IF(K95="x",MIN(1.315,1.28+U95*N95/BJ95/AR95/1100),IF(L95="x",1.28,MAX(1.245,1.28-U95*N95/BJ95/AR95/1100)))</f>
        <v>1.245</v>
      </c>
      <c r="BX95" s="41">
        <f>BW95*T95*BV95*BP95*N95^0.3*BJ95^0.4/V95^0.325</f>
        <v>0.848071462189001</v>
      </c>
      <c r="BY95" s="29"/>
      <c r="BZ95" s="29"/>
      <c r="CA95" t="s" s="19">
        <v>188</v>
      </c>
      <c r="CB95" t="s" s="19">
        <v>598</v>
      </c>
      <c r="CC95" t="s" s="19">
        <v>164</v>
      </c>
      <c r="CD95" t="s" s="19">
        <v>736</v>
      </c>
      <c r="CE95" s="3"/>
      <c r="CF95" s="3"/>
      <c r="CG95" t="s" s="30">
        <f>A95</f>
        <v>737</v>
      </c>
    </row>
    <row r="96" ht="12.75" customHeight="1">
      <c r="A96" t="s" s="25">
        <v>738</v>
      </c>
      <c r="B96" t="s" s="19">
        <v>507</v>
      </c>
      <c r="C96" t="s" s="19">
        <v>344</v>
      </c>
      <c r="D96" t="s" s="19">
        <v>345</v>
      </c>
      <c r="E96" t="s" s="19">
        <v>739</v>
      </c>
      <c r="F96" s="3"/>
      <c r="G96" s="3"/>
      <c r="H96" s="32"/>
      <c r="I96" s="32"/>
      <c r="J96" s="36"/>
      <c r="K96" t="s" s="24">
        <v>154</v>
      </c>
      <c r="L96" s="36"/>
      <c r="M96" s="11">
        <v>8.9</v>
      </c>
      <c r="N96" s="5">
        <v>8.550000000000001</v>
      </c>
      <c r="O96" s="11"/>
      <c r="P96" s="11"/>
      <c r="Q96" s="37"/>
      <c r="R96" t="s" s="24">
        <v>161</v>
      </c>
      <c r="S96" s="36"/>
      <c r="T96" s="38">
        <f>IF(S96&gt;0,1.048,IF(R96&gt;0,1.048,IF(Q96&gt;0,1.036,0.907+1.55*(P96/N96)-4.449*(P96/N96)^2)))</f>
        <v>1.048</v>
      </c>
      <c r="U96" s="39">
        <v>1525</v>
      </c>
      <c r="V96" s="40">
        <f>IF(H96="x",75+U96,IF(M96&lt;6.66,150+U96,-1.7384*M96^2+92.38*M96-388+U96))</f>
        <v>1821.483336</v>
      </c>
      <c r="W96" s="5">
        <v>3.6</v>
      </c>
      <c r="X96" s="5">
        <v>3.47</v>
      </c>
      <c r="Y96" s="5">
        <v>2.97</v>
      </c>
      <c r="Z96" s="5">
        <v>2.04</v>
      </c>
      <c r="AA96" s="5">
        <v>0.8</v>
      </c>
      <c r="AB96" s="5">
        <v>0.09</v>
      </c>
      <c r="AC96" s="5">
        <v>10.57</v>
      </c>
      <c r="AD96" s="33"/>
      <c r="AE96" s="5">
        <f>IF(AD96=0,(W96+4*X96+2*Y96+4*Z96+AA96)*AC96/12+W96*AB96/1.5,AD96)</f>
        <v>28.73738333333334</v>
      </c>
      <c r="AF96" s="11">
        <v>11.51</v>
      </c>
      <c r="AG96" s="11">
        <v>0.48</v>
      </c>
      <c r="AH96" s="5">
        <f>IF(AC96=0,AE96+AF96*AG96/2,AE96+AC96*AG96/2)</f>
        <v>31.27418333333334</v>
      </c>
      <c r="AI96" s="5">
        <v>9.17</v>
      </c>
      <c r="AJ96" s="5">
        <v>3.6</v>
      </c>
      <c r="AK96" s="33"/>
      <c r="AL96" s="5">
        <f>IF(AK96=0,AI96*AJ96/2,AK96)</f>
        <v>16.506</v>
      </c>
      <c r="AM96" s="3"/>
      <c r="AN96" s="5"/>
      <c r="AO96" s="5"/>
      <c r="AP96" s="5">
        <f>AL96+AI96*(AN96-AO96)/2</f>
        <v>16.506</v>
      </c>
      <c r="AQ96" s="5">
        <f>0.1*(AE96+AL96)</f>
        <v>4.524338333333334</v>
      </c>
      <c r="AR96" s="11">
        <v>11.9</v>
      </c>
      <c r="AS96" s="11"/>
      <c r="AT96" s="11"/>
      <c r="AU96" s="11"/>
      <c r="AV96" s="33"/>
      <c r="AW96" s="5">
        <f>IF(AV96=0,AS96/6*(AT96+AU96*4),AV96)</f>
        <v>0</v>
      </c>
      <c r="AX96" s="11">
        <v>1.8</v>
      </c>
      <c r="AY96" s="5">
        <f>IF(AX96&lt;0.149*M96+0.329,1,AX96/(0.149*M96+0.329))</f>
        <v>1.087547580206634</v>
      </c>
      <c r="AZ96" s="5">
        <f>IF(AW96*AY96&gt;AL96,(AW96*AY96-AL96)/4,0)</f>
        <v>0</v>
      </c>
      <c r="BA96" s="12">
        <f>0.401+0.1831*(2*AR96^2/(AH96+AP96+AZ96))-0.02016*(2*AR96^2/(AH96+AP96+AZ96))^2+0.0007472*(2*AR96^2/(AH96+AP96+AZ96))^3</f>
        <v>0.9336149356005502</v>
      </c>
      <c r="BB96" s="3"/>
      <c r="BC96" s="3"/>
      <c r="BD96" s="3"/>
      <c r="BE96" s="3"/>
      <c r="BF96" s="33">
        <v>52.79</v>
      </c>
      <c r="BG96" s="5">
        <f>IF(BF96=0,(BC96+BD96)*(BB96/12+BE96/3),BF96)</f>
        <v>52.79</v>
      </c>
      <c r="BH96" s="5">
        <f>IF(BG96*AY96&gt;AL96+AZ96,BG96*AY96-AL96-AZ96,0)</f>
        <v>40.90563675910821</v>
      </c>
      <c r="BI96" s="5">
        <f>IF(M96/1.6&lt;8,ROUND(M96/1.6,0),8)</f>
        <v>6</v>
      </c>
      <c r="BJ96" s="5">
        <f>(AH96+AP96+AZ96)*BA96+0.1*BH96</f>
        <v>48.69885646164331</v>
      </c>
      <c r="BK96" s="11">
        <v>1.65</v>
      </c>
      <c r="BL96" s="5">
        <f>M96*0.2</f>
        <v>1.78</v>
      </c>
      <c r="BM96" s="5">
        <f>ROUNDDOWN(M96/2.13,0)</f>
        <v>4</v>
      </c>
      <c r="BN96" s="12">
        <f>M96/4.26</f>
        <v>2.089201877934272</v>
      </c>
      <c r="BO96" s="5">
        <f>IF(M96&lt;8,1.22,IF(M96&lt;15.2,0.108333*M96+0.353,2))</f>
        <v>1.3171637</v>
      </c>
      <c r="BP96" s="12">
        <f>IF(BK96&lt;BO96,1+0.3*(BO96-BK96)/M96,1)</f>
        <v>1</v>
      </c>
      <c r="BQ96" s="32"/>
      <c r="BR96" s="39">
        <v>0</v>
      </c>
      <c r="BS96" t="s" s="24">
        <v>154</v>
      </c>
      <c r="BT96" s="36"/>
      <c r="BU96" s="36"/>
      <c r="BV96" s="5">
        <f>IF(BQ96&lt;(M96/0.3048)^0.5,1,IF(BU96="x",1-BR96*0.02,IF(BT96="x",1-BR96*0.01,1)))</f>
        <v>1</v>
      </c>
      <c r="BW96" s="12">
        <f>IF(K96="x",MIN(1.315,1.28+U96*N96/BJ96/AR96/1100),IF(L96="x",1.28,MAX(1.245,1.28-U96*N96/BJ96/AR96/1100)))</f>
        <v>1.300453966888112</v>
      </c>
      <c r="BX96" s="41">
        <f>BW96*T96*BV96*BP96*N96^0.3*BJ96^0.4/V96^0.325</f>
        <v>1.070077950693879</v>
      </c>
      <c r="BY96" s="29"/>
      <c r="BZ96" s="29"/>
      <c r="CA96" t="s" s="19">
        <v>698</v>
      </c>
      <c r="CB96" t="s" s="19">
        <v>603</v>
      </c>
      <c r="CC96" t="s" s="19">
        <v>254</v>
      </c>
      <c r="CD96" t="s" s="19">
        <v>483</v>
      </c>
      <c r="CE96" s="3"/>
      <c r="CF96" s="3"/>
      <c r="CG96" t="s" s="30">
        <f>A96</f>
        <v>740</v>
      </c>
    </row>
    <row r="97" ht="12.75" customHeight="1">
      <c r="A97" t="s" s="25">
        <v>741</v>
      </c>
      <c r="B97" s="3"/>
      <c r="C97" s="3"/>
      <c r="D97" s="3"/>
      <c r="E97" t="s" s="19">
        <v>742</v>
      </c>
      <c r="F97" s="3"/>
      <c r="G97" s="3"/>
      <c r="H97" s="32"/>
      <c r="I97" s="32"/>
      <c r="J97" t="s" s="24">
        <v>154</v>
      </c>
      <c r="K97" s="36"/>
      <c r="L97" s="36"/>
      <c r="M97" s="11">
        <v>11.52</v>
      </c>
      <c r="N97" s="5">
        <v>11.52</v>
      </c>
      <c r="O97" s="11"/>
      <c r="P97" s="11">
        <v>1</v>
      </c>
      <c r="Q97" s="37"/>
      <c r="R97" s="36"/>
      <c r="S97" s="36"/>
      <c r="T97" s="38">
        <f>IF(S97&gt;0,1.048,IF(R97&gt;0,1.048,IF(Q97&gt;0,1.036,0.907+1.55*(P97/N97)-4.449*(P97/N97)^2)))</f>
        <v>1.008024486400463</v>
      </c>
      <c r="U97" s="39">
        <v>5500</v>
      </c>
      <c r="V97" s="40">
        <f>IF(H97="x",75+U97,IF(M97&lt;6.66,150+U97,-1.7384*M97^2+92.38*M97-388+U97))</f>
        <v>5945.51384064</v>
      </c>
      <c r="W97" s="5"/>
      <c r="X97" s="5"/>
      <c r="Y97" s="5"/>
      <c r="Z97" s="5"/>
      <c r="AA97" s="5"/>
      <c r="AB97" s="5"/>
      <c r="AC97" s="5"/>
      <c r="AD97" s="33">
        <v>50</v>
      </c>
      <c r="AE97" s="5">
        <f>IF(AD97=0,(W97+4*X97+2*Y97+4*Z97+AA97)*AC97/12+W97*AB97/1.5,AD97)</f>
        <v>50</v>
      </c>
      <c r="AF97" s="11">
        <v>14.1</v>
      </c>
      <c r="AG97" s="11"/>
      <c r="AH97" s="5">
        <f>IF(AC97=0,AE97+AF97*AG97/2,AE97+AC97*AG97/2)</f>
        <v>50</v>
      </c>
      <c r="AI97" s="5">
        <v>13.7</v>
      </c>
      <c r="AJ97" s="3"/>
      <c r="AK97" s="33">
        <v>35</v>
      </c>
      <c r="AL97" s="5">
        <f>IF(AK97=0,AI97*AJ97/2,AK97)</f>
        <v>35</v>
      </c>
      <c r="AM97" s="3"/>
      <c r="AN97" s="5"/>
      <c r="AO97" s="5">
        <v>0.22</v>
      </c>
      <c r="AP97" s="5">
        <f>AL97+AI97*(AN97-AO97)/2</f>
        <v>33.493</v>
      </c>
      <c r="AQ97" s="5">
        <f>0.1*(AE97+AL97)</f>
        <v>8.5</v>
      </c>
      <c r="AR97" s="11">
        <v>14.1</v>
      </c>
      <c r="AS97" s="11"/>
      <c r="AT97" s="11"/>
      <c r="AU97" s="11"/>
      <c r="AV97" s="33"/>
      <c r="AW97" s="5">
        <f>IF(AV97=0,AS97/6*(AT97+AU97*4),AV97)</f>
        <v>0</v>
      </c>
      <c r="AX97" s="11">
        <v>0</v>
      </c>
      <c r="AY97" s="5">
        <f>IF(AX97&lt;0.149*M97+0.329,1,AX97/(0.149*M97+0.329))</f>
        <v>1</v>
      </c>
      <c r="AZ97" s="5">
        <f>IF(AW97*AY97&gt;AL97,(AW97*AY97-AL97)/4,0)</f>
        <v>0</v>
      </c>
      <c r="BA97" s="12">
        <f>0.401+0.1831*(2*AR97^2/(AH97+AP97+AZ97))-0.02016*(2*AR97^2/(AH97+AP97+AZ97))^2+0.0007472*(2*AR97^2/(AH97+AP97+AZ97))^3</f>
        <v>0.896461553047227</v>
      </c>
      <c r="BB97" s="3"/>
      <c r="BC97" s="3"/>
      <c r="BD97" s="3"/>
      <c r="BE97" s="3"/>
      <c r="BF97" s="33">
        <v>90</v>
      </c>
      <c r="BG97" s="5">
        <f>IF(BF97=0,(BC97+BD97)*(BB97/12+BE97/3),BF97)</f>
        <v>90</v>
      </c>
      <c r="BH97" s="5">
        <f>IF(BG97*AY97&gt;AL97+AZ97,BG97*AY97-AL97-AZ97,0)</f>
        <v>55</v>
      </c>
      <c r="BI97" s="5">
        <f>IF(M97/1.6&lt;8,ROUND(M97/1.6,0),8)</f>
        <v>7</v>
      </c>
      <c r="BJ97" s="5">
        <f>(AH97+AP97+AZ97)*BA97+0.1*BH97</f>
        <v>80.34826444857211</v>
      </c>
      <c r="BK97" s="11">
        <v>2.12</v>
      </c>
      <c r="BL97" s="5">
        <f>M97*0.2</f>
        <v>2.304</v>
      </c>
      <c r="BM97" s="5">
        <f>ROUNDDOWN(M97/2.13,0)</f>
        <v>5</v>
      </c>
      <c r="BN97" s="12">
        <f>M97/4.26</f>
        <v>2.704225352112676</v>
      </c>
      <c r="BO97" s="5">
        <f>IF(M97&lt;8,1.22,IF(M97&lt;15.2,0.108333*M97+0.353,2))</f>
        <v>1.60099616</v>
      </c>
      <c r="BP97" s="12">
        <f>IF(BK97&lt;BO97,1+0.3*(BO97-BK97)/M97,1)</f>
        <v>1</v>
      </c>
      <c r="BQ97" s="39">
        <v>8</v>
      </c>
      <c r="BR97" s="39">
        <v>2</v>
      </c>
      <c r="BS97" s="36"/>
      <c r="BT97" s="36"/>
      <c r="BU97" t="s" s="24">
        <v>154</v>
      </c>
      <c r="BV97" s="5">
        <f>IF(BQ97&lt;(M97/0.3048)^0.5,1,IF(BU97="x",1-BR97*0.02,IF(BT97="x",1-BR97*0.01,1)))</f>
        <v>0.96</v>
      </c>
      <c r="BW97" s="12">
        <f>IF(K97="x",MIN(1.315,1.28+U97*N97/BJ97/AR97/1100),IF(L97="x",1.28,MAX(1.245,1.28-U97*N97/BJ97/AR97/1100)))</f>
        <v>1.245</v>
      </c>
      <c r="BX97" s="41">
        <f>BW97*T97*BV97*BP97*N97^0.3*BJ97^0.4/V97^0.325</f>
        <v>0.8604516208362802</v>
      </c>
      <c r="BY97" s="29"/>
      <c r="BZ97" s="29"/>
      <c r="CA97" t="s" s="19">
        <v>162</v>
      </c>
      <c r="CB97" t="s" s="19">
        <v>723</v>
      </c>
      <c r="CC97" t="s" s="19">
        <v>180</v>
      </c>
      <c r="CD97" s="3"/>
      <c r="CE97" s="3"/>
      <c r="CF97" s="3"/>
      <c r="CG97" t="s" s="30">
        <f>A97</f>
        <v>743</v>
      </c>
    </row>
    <row r="98" ht="12.75" customHeight="1">
      <c r="A98" t="s" s="25">
        <v>744</v>
      </c>
      <c r="B98" t="s" s="19">
        <v>745</v>
      </c>
      <c r="C98" t="s" s="19">
        <v>562</v>
      </c>
      <c r="D98" t="s" s="19">
        <v>562</v>
      </c>
      <c r="E98" s="3"/>
      <c r="F98" s="3"/>
      <c r="G98" s="3"/>
      <c r="H98" s="32"/>
      <c r="I98" s="32"/>
      <c r="J98" t="s" s="24">
        <v>154</v>
      </c>
      <c r="K98" s="36"/>
      <c r="L98" s="36"/>
      <c r="M98" s="11">
        <v>10.36</v>
      </c>
      <c r="N98" s="5">
        <v>9.91</v>
      </c>
      <c r="O98" s="11">
        <v>4.8</v>
      </c>
      <c r="P98" s="11">
        <v>0.83</v>
      </c>
      <c r="Q98" s="37"/>
      <c r="R98" s="36"/>
      <c r="S98" s="36"/>
      <c r="T98" s="38">
        <f>IF(S98&gt;0,1.048,IF(R98&gt;0,1.048,IF(Q98&gt;0,1.036,0.907+1.55*(P98/N98)-4.449*(P98/N98)^2)))</f>
        <v>1.005609981254092</v>
      </c>
      <c r="U98" s="39">
        <v>4000</v>
      </c>
      <c r="V98" s="40">
        <f>IF(H98="x",75+U98,IF(M98&lt;6.66,150+U98,-1.7384*M98^2+92.38*M98-388+U98))</f>
        <v>4382.47502336</v>
      </c>
      <c r="W98" s="5"/>
      <c r="X98" s="5"/>
      <c r="Y98" s="5"/>
      <c r="Z98" s="5"/>
      <c r="AA98" s="5"/>
      <c r="AB98" s="5"/>
      <c r="AC98" s="5"/>
      <c r="AD98" s="33">
        <v>17</v>
      </c>
      <c r="AE98" s="5">
        <f>IF(AD98=0,(W98+4*X98+2*Y98+4*Z98+AA98)*AC98/12+W98*AB98/1.5,AD98)</f>
        <v>17</v>
      </c>
      <c r="AF98" s="11">
        <v>11.5</v>
      </c>
      <c r="AG98" s="11"/>
      <c r="AH98" s="5">
        <f>IF(AC98=0,AE98+AF98*AG98/2,AE98+AC98*AG98/2)</f>
        <v>17</v>
      </c>
      <c r="AI98" s="3"/>
      <c r="AJ98" s="3"/>
      <c r="AK98" s="33">
        <v>35</v>
      </c>
      <c r="AL98" s="5">
        <f>IF(AK98=0,AI98*AJ98/2,AK98)</f>
        <v>35</v>
      </c>
      <c r="AM98" s="3"/>
      <c r="AN98" s="5"/>
      <c r="AO98" s="5"/>
      <c r="AP98" s="5">
        <f>AL98+AI98*(AN98-AO98)/2</f>
        <v>35</v>
      </c>
      <c r="AQ98" s="5">
        <f>0.1*(AE98+AL98)</f>
        <v>5.2</v>
      </c>
      <c r="AR98" s="11">
        <v>12.1</v>
      </c>
      <c r="AS98" s="11"/>
      <c r="AT98" s="11"/>
      <c r="AU98" s="11"/>
      <c r="AV98" s="33"/>
      <c r="AW98" s="5">
        <f>IF(AV98=0,AS98/6*(AT98+AU98*4),AV98)</f>
        <v>0</v>
      </c>
      <c r="AX98" s="11">
        <v>0</v>
      </c>
      <c r="AY98" s="5">
        <f>IF(AX98&lt;0.149*M98+0.329,1,AX98/(0.149*M98+0.329))</f>
        <v>1</v>
      </c>
      <c r="AZ98" s="5">
        <f>IF(AW98*AY98&gt;AL98,(AW98*AY98-AL98)/4,0)</f>
        <v>0</v>
      </c>
      <c r="BA98" s="12">
        <f>0.401+0.1831*(2*AR98^2/(AH98+AP98+AZ98))-0.02016*(2*AR98^2/(AH98+AP98+AZ98))^2+0.0007472*(2*AR98^2/(AH98+AP98+AZ98))^3</f>
        <v>0.926215303401794</v>
      </c>
      <c r="BB98" s="5">
        <v>9</v>
      </c>
      <c r="BC98" s="5">
        <v>12</v>
      </c>
      <c r="BD98" s="5">
        <v>12</v>
      </c>
      <c r="BE98" s="5">
        <v>7</v>
      </c>
      <c r="BF98" s="33"/>
      <c r="BG98" s="5">
        <f>IF(BF98=0,(BC98+BD98)*(BB98/12+BE98/3),BF98)</f>
        <v>74</v>
      </c>
      <c r="BH98" s="5">
        <f>IF(BG98*AY98&gt;AL98+AZ98,BG98*AY98-AL98-AZ98,0)</f>
        <v>39</v>
      </c>
      <c r="BI98" s="5">
        <f>IF(M98/1.6&lt;8,ROUND(M98/1.6,0),8)</f>
        <v>6</v>
      </c>
      <c r="BJ98" s="5">
        <f>(AH98+AP98+AZ98)*BA98+0.1*BH98</f>
        <v>52.06319577689329</v>
      </c>
      <c r="BK98" s="11">
        <v>2</v>
      </c>
      <c r="BL98" s="5">
        <f>M98*0.2</f>
        <v>2.072</v>
      </c>
      <c r="BM98" s="5">
        <f>ROUNDDOWN(M98/2.13,0)</f>
        <v>4</v>
      </c>
      <c r="BN98" s="12">
        <f>M98/4.26</f>
        <v>2.431924882629108</v>
      </c>
      <c r="BO98" s="5">
        <f>IF(M98&lt;8,1.22,IF(M98&lt;15.2,0.108333*M98+0.353,2))</f>
        <v>1.47532988</v>
      </c>
      <c r="BP98" s="12">
        <f>IF(BK98&lt;BO98,1+0.3*(BO98-BK98)/M98,1)</f>
        <v>1</v>
      </c>
      <c r="BQ98" s="39">
        <v>8</v>
      </c>
      <c r="BR98" s="39">
        <v>1</v>
      </c>
      <c r="BS98" t="s" s="24">
        <v>154</v>
      </c>
      <c r="BT98" s="36"/>
      <c r="BU98" s="36"/>
      <c r="BV98" s="5">
        <f>IF(BQ98&lt;(M98/0.3048)^0.5,1,IF(BU98="x",1-BR98*0.02,IF(BT98="x",1-BR98*0.01,1)))</f>
        <v>1</v>
      </c>
      <c r="BW98" s="12">
        <f>IF(K98="x",MIN(1.315,1.28+U98*N98/BJ98/AR98/1100),IF(L98="x",1.28,MAX(1.245,1.28-U98*N98/BJ98/AR98/1100)))</f>
        <v>1.245</v>
      </c>
      <c r="BX98" s="41">
        <f>BW98*T98*BV98*BP98*N98^0.3*BJ98^0.4/V98^0.325</f>
        <v>0.7933677288376951</v>
      </c>
      <c r="BY98" s="29"/>
      <c r="BZ98" s="29"/>
      <c r="CA98" t="s" s="19">
        <v>162</v>
      </c>
      <c r="CB98" t="s" s="19">
        <v>300</v>
      </c>
      <c r="CC98" t="s" s="19">
        <v>164</v>
      </c>
      <c r="CD98" s="3"/>
      <c r="CE98" s="3"/>
      <c r="CF98" s="3"/>
      <c r="CG98" t="s" s="30">
        <f>A98</f>
        <v>746</v>
      </c>
    </row>
    <row r="99" ht="12.75" customHeight="1">
      <c r="A99" t="s" s="25">
        <v>747</v>
      </c>
      <c r="B99" t="s" s="19">
        <v>748</v>
      </c>
      <c r="C99" t="s" s="19">
        <v>242</v>
      </c>
      <c r="D99" t="s" s="19">
        <v>185</v>
      </c>
      <c r="E99" t="s" s="19">
        <v>749</v>
      </c>
      <c r="F99" s="3"/>
      <c r="G99" t="s" s="19">
        <v>750</v>
      </c>
      <c r="H99" s="32"/>
      <c r="I99" s="32"/>
      <c r="J99" t="s" s="24">
        <v>154</v>
      </c>
      <c r="K99" s="36"/>
      <c r="L99" s="36"/>
      <c r="M99" s="11">
        <v>12.37</v>
      </c>
      <c r="N99" s="5">
        <v>12.27</v>
      </c>
      <c r="O99" s="11">
        <v>7.09</v>
      </c>
      <c r="P99" s="11">
        <v>1.2</v>
      </c>
      <c r="Q99" s="37"/>
      <c r="R99" s="36"/>
      <c r="S99" s="36"/>
      <c r="T99" s="38">
        <f>IF(S99&gt;0,1.048,IF(R99&gt;0,1.048,IF(Q99&gt;0,1.036,0.907+1.55*(P99/N99)-4.449*(P99/N99)^2)))</f>
        <v>1.01603569443033</v>
      </c>
      <c r="U99" s="39">
        <v>7500</v>
      </c>
      <c r="V99" s="40">
        <f>IF(H99="x",75+U99,IF(M99&lt;6.66,150+U99,-1.7384*M99^2+92.38*M99-388+U99))</f>
        <v>7988.73602104</v>
      </c>
      <c r="W99" s="5"/>
      <c r="X99" s="5"/>
      <c r="Y99" s="5"/>
      <c r="Z99" s="5"/>
      <c r="AA99" s="5"/>
      <c r="AB99" s="5"/>
      <c r="AC99" s="5"/>
      <c r="AD99" s="33"/>
      <c r="AE99" s="5">
        <f>IF(AD99=0,(W99+4*X99+2*Y99+4*Z99+AA99)*AC99/12+W99*AB99/1.5,AD99)</f>
        <v>0</v>
      </c>
      <c r="AF99" s="11">
        <v>15.85</v>
      </c>
      <c r="AG99" s="11"/>
      <c r="AH99" s="5">
        <f>IF(AC99=0,AE99+AF99*AG99/2,AE99+AC99*AG99/2)</f>
        <v>0</v>
      </c>
      <c r="AI99" s="3"/>
      <c r="AJ99" s="3"/>
      <c r="AK99" s="33"/>
      <c r="AL99" s="5">
        <f>IF(AK99=0,AI99*AJ99/2,AK99)</f>
        <v>0</v>
      </c>
      <c r="AM99" s="3"/>
      <c r="AN99" s="5"/>
      <c r="AO99" s="5"/>
      <c r="AP99" s="5">
        <f>AL99+AI99*(AN99-AO99)/2</f>
        <v>0</v>
      </c>
      <c r="AQ99" s="5">
        <f>0.1*(AE99+AL99)</f>
        <v>0</v>
      </c>
      <c r="AR99" s="11">
        <v>16.05</v>
      </c>
      <c r="AS99" s="11"/>
      <c r="AT99" s="11"/>
      <c r="AU99" s="11"/>
      <c r="AV99" s="33"/>
      <c r="AW99" s="5">
        <f>IF(AV99=0,AS99/6*(AT99+AU99*4),AV99)</f>
        <v>0</v>
      </c>
      <c r="AX99" s="11">
        <v>0</v>
      </c>
      <c r="AY99" s="5">
        <f>IF(AX99&lt;0.149*M99+0.329,1,AX99/(0.149*M99+0.329))</f>
        <v>1</v>
      </c>
      <c r="AZ99" s="5">
        <f>IF(AW99*AY99&gt;AL99,(AW99*AY99-AL99)/4,0)</f>
        <v>0</v>
      </c>
      <c r="BA99" s="3">
        <f>0.401+0.1831*(2*AR99^2/(AH99+AP99+AZ99))-0.02016*(2*AR99^2/(AH99+AP99+AZ99))^2+0.0007472*(2*AR99^2/(AH99+AP99+AZ99))^3</f>
      </c>
      <c r="BB99" s="3"/>
      <c r="BC99" s="3"/>
      <c r="BD99" s="3"/>
      <c r="BE99" s="3"/>
      <c r="BF99" s="33"/>
      <c r="BG99" s="5">
        <f>IF(BF99=0,(BC99+BD99)*(BB99/12+BE99/3),BF99)</f>
        <v>0</v>
      </c>
      <c r="BH99" s="5">
        <f>IF(BG99*AY99&gt;AL99+AZ99,BG99*AY99-AL99-AZ99,0)</f>
        <v>0</v>
      </c>
      <c r="BI99" s="5">
        <f>IF(M99/1.6&lt;8,ROUND(M99/1.6,0),8)</f>
        <v>8</v>
      </c>
      <c r="BJ99" s="3">
        <f>(AH99+AP99+AZ99)*BA99+0.1*BH99</f>
      </c>
      <c r="BK99" s="11">
        <v>2</v>
      </c>
      <c r="BL99" s="5">
        <f>M99*0.2</f>
        <v>2.474</v>
      </c>
      <c r="BM99" s="5">
        <f>ROUNDDOWN(M99/2.13,0)</f>
        <v>5</v>
      </c>
      <c r="BN99" s="12">
        <f>M99/4.26</f>
        <v>2.903755868544601</v>
      </c>
      <c r="BO99" s="5">
        <f>IF(M99&lt;8,1.22,IF(M99&lt;15.2,0.108333*M99+0.353,2))</f>
        <v>1.69307921</v>
      </c>
      <c r="BP99" s="12">
        <f>IF(BK99&lt;BO99,1+0.3*(BO99-BK99)/M99,1)</f>
        <v>1</v>
      </c>
      <c r="BQ99" s="39">
        <v>7.5</v>
      </c>
      <c r="BR99" s="39">
        <v>2</v>
      </c>
      <c r="BS99" s="36"/>
      <c r="BT99" s="36"/>
      <c r="BU99" t="s" s="24">
        <v>154</v>
      </c>
      <c r="BV99" s="5">
        <f>IF(BQ99&lt;(M99/0.3048)^0.5,1,IF(BU99="x",1-BR99*0.02,IF(BT99="x",1-BR99*0.01,1)))</f>
        <v>0.96</v>
      </c>
      <c r="BW99" s="3">
        <f>IF(K99="x",MIN(1.315,1.28+U99*N99/BJ99/AR99/1100),IF(L99="x",1.28,MAX(1.245,1.28-U99*N99/BJ99/AR99/1100)))</f>
      </c>
      <c r="BX99" s="29">
        <f>BW99*T99*BV99*BP99*N99^0.3*BJ99^0.4/V99^0.325</f>
      </c>
      <c r="BY99" s="29"/>
      <c r="BZ99" s="29"/>
      <c r="CA99" s="3"/>
      <c r="CB99" s="3"/>
      <c r="CC99" s="3"/>
      <c r="CD99" s="3"/>
      <c r="CE99" s="3"/>
      <c r="CF99" s="3"/>
      <c r="CG99" t="s" s="30">
        <f>A99</f>
        <v>751</v>
      </c>
    </row>
    <row r="100" ht="12.75" customHeight="1">
      <c r="A100" t="s" s="25">
        <v>752</v>
      </c>
      <c r="B100" t="s" s="19">
        <v>753</v>
      </c>
      <c r="C100" t="s" s="19">
        <v>754</v>
      </c>
      <c r="D100" t="s" s="19">
        <v>427</v>
      </c>
      <c r="E100" t="s" s="19">
        <v>755</v>
      </c>
      <c r="F100" t="s" s="19">
        <v>756</v>
      </c>
      <c r="G100" t="s" s="19">
        <v>757</v>
      </c>
      <c r="H100" s="32"/>
      <c r="I100" s="32"/>
      <c r="J100" t="s" s="24">
        <v>154</v>
      </c>
      <c r="K100" s="36"/>
      <c r="L100" s="36"/>
      <c r="M100" s="11">
        <v>8.5</v>
      </c>
      <c r="N100" s="5">
        <v>8.5</v>
      </c>
      <c r="O100" s="11">
        <v>5.06</v>
      </c>
      <c r="P100" s="11"/>
      <c r="Q100" s="37"/>
      <c r="R100" t="s" s="24">
        <v>758</v>
      </c>
      <c r="S100" s="36"/>
      <c r="T100" s="38">
        <f>IF(S100&gt;0,1.048,IF(R100&gt;0,1.048,IF(Q100&gt;0,1.036,0.907+1.55*(P100/N100)-4.449*(P100/N100)^2)))</f>
        <v>1.048</v>
      </c>
      <c r="U100" s="39">
        <v>1052</v>
      </c>
      <c r="V100" s="40">
        <f>IF(H100="x",75+U100,IF(M100&lt;6.66,150+U100,-1.7384*M100^2+92.38*M100-388+U100))</f>
        <v>1323.6306</v>
      </c>
      <c r="W100" s="5"/>
      <c r="X100" s="5"/>
      <c r="Y100" s="5"/>
      <c r="Z100" s="5"/>
      <c r="AA100" s="5"/>
      <c r="AB100" s="5"/>
      <c r="AC100" s="5">
        <v>10.2</v>
      </c>
      <c r="AD100" s="33">
        <v>30.34</v>
      </c>
      <c r="AE100" s="5">
        <f>IF(AD100=0,(W100+4*X100+2*Y100+4*Z100+AA100)*AC100/12+W100*AB100/1.5,AD100)</f>
        <v>30.34</v>
      </c>
      <c r="AF100" s="11">
        <v>11.45</v>
      </c>
      <c r="AG100" s="11">
        <v>0.48</v>
      </c>
      <c r="AH100" s="5">
        <f>IF(AC100=0,AE100+AF100*AG100/2,AE100+AC100*AG100/2)</f>
        <v>32.788</v>
      </c>
      <c r="AI100" s="5">
        <v>8.529999999999999</v>
      </c>
      <c r="AJ100" s="3"/>
      <c r="AK100" s="33">
        <v>12.67</v>
      </c>
      <c r="AL100" s="5">
        <f>IF(AK100=0,AI100*AJ100/2,AK100)</f>
        <v>12.67</v>
      </c>
      <c r="AM100" t="s" s="19">
        <v>154</v>
      </c>
      <c r="AN100" s="5"/>
      <c r="AO100" s="5"/>
      <c r="AP100" s="5">
        <f>AL100+AI100*(AN100-AO100)/2</f>
        <v>12.67</v>
      </c>
      <c r="AQ100" s="5">
        <f>0.1*(AE100+AL100)</f>
        <v>4.301</v>
      </c>
      <c r="AR100" s="11">
        <v>11.54</v>
      </c>
      <c r="AS100" s="11"/>
      <c r="AT100" s="11"/>
      <c r="AU100" s="11"/>
      <c r="AV100" s="33"/>
      <c r="AW100" s="5">
        <f>IF(AV100=0,AS100/6*(AT100+AU100*4),AV100)</f>
        <v>0</v>
      </c>
      <c r="AX100" s="11">
        <v>1.33</v>
      </c>
      <c r="AY100" s="5">
        <f>IF(AX100&lt;0.149*M100+0.329,1,AX100/(0.149*M100+0.329))</f>
        <v>1</v>
      </c>
      <c r="AZ100" s="5">
        <f>IF(AW100*AY100&gt;AL100,(AW100*AY100-AL100)/4,0)</f>
        <v>0</v>
      </c>
      <c r="BA100" s="12">
        <f>0.401+0.1831*(2*AR100^2/(AH100+AP100+AZ100))-0.02016*(2*AR100^2/(AH100+AP100+AZ100))^2+0.0007472*(2*AR100^2/(AH100+AP100+AZ100))^3</f>
        <v>0.9320174573877854</v>
      </c>
      <c r="BB100" s="3"/>
      <c r="BC100" s="3"/>
      <c r="BD100" s="3"/>
      <c r="BE100" s="3"/>
      <c r="BF100" s="33">
        <v>58.89</v>
      </c>
      <c r="BG100" s="5">
        <f>IF(BF100=0,(BC100+BD100)*(BB100/12+BE100/3),BF100)</f>
        <v>58.89</v>
      </c>
      <c r="BH100" s="5">
        <f>IF(BG100*AY100&gt;AL100+AZ100,BG100*AY100-AL100-AZ100,0)</f>
        <v>46.22</v>
      </c>
      <c r="BI100" s="5">
        <f>IF(M100/1.6&lt;8,ROUND(M100/1.6,0),8)</f>
        <v>5</v>
      </c>
      <c r="BJ100" s="5">
        <f>(AH100+AP100+AZ100)*BA100+0.1*BH100</f>
        <v>46.98964957793395</v>
      </c>
      <c r="BK100" s="11">
        <v>1.22</v>
      </c>
      <c r="BL100" s="5">
        <f>M100*0.2</f>
        <v>1.7</v>
      </c>
      <c r="BM100" s="5">
        <f>ROUNDDOWN(M100/2.13,0)</f>
        <v>3</v>
      </c>
      <c r="BN100" s="12">
        <f>M100/4.26</f>
        <v>1.995305164319249</v>
      </c>
      <c r="BO100" s="5">
        <f>IF(M100&lt;8,1.22,IF(M100&lt;15.2,0.108333*M100+0.353,2))</f>
        <v>1.2738305</v>
      </c>
      <c r="BP100" s="12">
        <f>IF(BK100&lt;BO100,1+0.3*(BO100-BK100)/M100,1)</f>
        <v>1.0018999</v>
      </c>
      <c r="BQ100" s="39">
        <v>3</v>
      </c>
      <c r="BR100" s="32"/>
      <c r="BS100" t="s" s="24">
        <v>154</v>
      </c>
      <c r="BT100" s="36"/>
      <c r="BU100" s="36"/>
      <c r="BV100" s="5">
        <f>IF(BQ100&lt;(M100/0.3048)^0.5,1,IF(BU100="x",1-BR100*0.02,IF(BT100="x",1-BR100*0.01,1)))</f>
        <v>1</v>
      </c>
      <c r="BW100" s="12">
        <f>IF(K100="x",MIN(1.315,1.28+U100*N100/BJ100/AR100/1100),IF(L100="x",1.28,MAX(1.245,1.28-U100*N100/BJ100/AR100/1100)))</f>
        <v>1.265008883981686</v>
      </c>
      <c r="BX100" s="41">
        <f>BW100*T100*BV100*BP100*N100^0.3*BJ100^0.4/V100^0.325</f>
        <v>1.138496086436691</v>
      </c>
      <c r="BY100" s="29"/>
      <c r="BZ100" s="29"/>
      <c r="CA100" t="s" s="19">
        <v>632</v>
      </c>
      <c r="CB100" s="42">
        <v>2009</v>
      </c>
      <c r="CC100" t="s" s="19">
        <v>254</v>
      </c>
      <c r="CD100" s="3"/>
      <c r="CE100" s="3"/>
      <c r="CF100" s="3"/>
      <c r="CG100" t="s" s="30">
        <f>A100</f>
        <v>759</v>
      </c>
    </row>
    <row r="101" ht="12.75" customHeight="1">
      <c r="A101" t="s" s="25">
        <v>760</v>
      </c>
      <c r="B101" t="s" s="19">
        <v>338</v>
      </c>
      <c r="C101" t="s" s="19">
        <v>213</v>
      </c>
      <c r="D101" t="s" s="19">
        <v>761</v>
      </c>
      <c r="E101" t="s" s="19">
        <v>761</v>
      </c>
      <c r="F101" t="s" s="19">
        <v>762</v>
      </c>
      <c r="G101" t="s" s="19">
        <v>763</v>
      </c>
      <c r="H101" s="32"/>
      <c r="I101" s="32"/>
      <c r="J101" t="s" s="24">
        <v>154</v>
      </c>
      <c r="K101" s="36"/>
      <c r="L101" s="36"/>
      <c r="M101" s="11">
        <v>10</v>
      </c>
      <c r="N101" s="5">
        <v>10</v>
      </c>
      <c r="O101" s="11">
        <v>6</v>
      </c>
      <c r="P101" s="11"/>
      <c r="Q101" s="37"/>
      <c r="R101" s="43">
        <v>1.5</v>
      </c>
      <c r="S101" s="36"/>
      <c r="T101" s="38">
        <f>IF(S101&gt;0,1.048,IF(R101&gt;0,1.048,IF(Q101&gt;0,1.036,0.907+1.55*(P101/N101)-4.449*(P101/N101)^2)))</f>
        <v>1.048</v>
      </c>
      <c r="U101" s="39">
        <v>1200</v>
      </c>
      <c r="V101" s="40">
        <f>IF(H101="x",75+U101,IF(M101&lt;6.66,150+U101,-1.7384*M101^2+92.38*M101-388+U101))</f>
        <v>1561.96</v>
      </c>
      <c r="W101" s="5"/>
      <c r="X101" s="5"/>
      <c r="Y101" s="5"/>
      <c r="Z101" s="5"/>
      <c r="AA101" s="5"/>
      <c r="AB101" s="5"/>
      <c r="AC101" s="5">
        <v>13.28</v>
      </c>
      <c r="AD101" s="33">
        <v>36.24</v>
      </c>
      <c r="AE101" s="5">
        <f>IF(AD101=0,(W101+4*X101+2*Y101+4*Z101+AA101)*AC101/12+W101*AB101/1.5,AD101)</f>
        <v>36.24</v>
      </c>
      <c r="AF101" s="11">
        <v>14.5</v>
      </c>
      <c r="AG101" s="11">
        <v>0.92</v>
      </c>
      <c r="AH101" s="5">
        <f>IF(AC101=0,AE101+AF101*AG101/2,AE101+AC101*AG101/2)</f>
        <v>42.3488</v>
      </c>
      <c r="AI101" s="5">
        <v>11.85</v>
      </c>
      <c r="AJ101" s="3"/>
      <c r="AK101" s="33">
        <v>13.36</v>
      </c>
      <c r="AL101" s="5">
        <f>IF(AK101=0,AI101*AJ101/2,AK101)</f>
        <v>13.36</v>
      </c>
      <c r="AM101" s="3"/>
      <c r="AN101" s="5">
        <v>0.06</v>
      </c>
      <c r="AO101" s="5"/>
      <c r="AP101" s="5">
        <f>AL101+AI101*(AN101-AO101)/2</f>
        <v>13.7155</v>
      </c>
      <c r="AQ101" s="5">
        <f>0.1*(AE101+AL101)</f>
        <v>4.960000000000001</v>
      </c>
      <c r="AR101" s="11">
        <v>14.5</v>
      </c>
      <c r="AS101" s="11"/>
      <c r="AT101" s="11"/>
      <c r="AU101" s="11"/>
      <c r="AV101" s="33">
        <v>30</v>
      </c>
      <c r="AW101" s="5">
        <f>IF(AV101=0,AS101/6*(AT101+AU101*4),AV101)</f>
        <v>30</v>
      </c>
      <c r="AX101" s="11">
        <v>1.6</v>
      </c>
      <c r="AY101" s="5">
        <f>IF(AX101&lt;0.149*M101+0.329,1,AX101/(0.149*M101+0.329))</f>
        <v>1</v>
      </c>
      <c r="AZ101" s="5">
        <f>IF(AW101*AY101&gt;AL101,(AW101*AY101-AL101)/4,0)</f>
        <v>4.16</v>
      </c>
      <c r="BA101" s="12">
        <f>0.401+0.1831*(2*AR101^2/(AH101+AP101+AZ101))-0.02016*(2*AR101^2/(AH101+AP101+AZ101))^2+0.0007472*(2*AR101^2/(AH101+AP101+AZ101))^3</f>
        <v>0.9509580895842971</v>
      </c>
      <c r="BB101" s="3"/>
      <c r="BC101" s="3"/>
      <c r="BD101" s="3"/>
      <c r="BE101" s="3"/>
      <c r="BF101" s="33">
        <v>55</v>
      </c>
      <c r="BG101" s="5">
        <f>IF(BF101=0,(BC101+BD101)*(BB101/12+BE101/3),BF101)</f>
        <v>55</v>
      </c>
      <c r="BH101" s="5">
        <f>IF(BG101*AY101&gt;AL101+AZ101,BG101*AY101-AL101-AZ101,0)</f>
        <v>37.48</v>
      </c>
      <c r="BI101" s="5">
        <f>IF(M101/1.6&lt;8,ROUND(M101/1.6,0),8)</f>
        <v>6</v>
      </c>
      <c r="BJ101" s="5">
        <f>(AH101+AP101+AZ101)*BA101+0.1*BH101</f>
        <v>61.01878527455158</v>
      </c>
      <c r="BK101" s="11">
        <v>1.3</v>
      </c>
      <c r="BL101" s="5">
        <f>M101*0.2</f>
        <v>2</v>
      </c>
      <c r="BM101" s="5">
        <f>ROUNDDOWN(M101/2.13,0)</f>
        <v>4</v>
      </c>
      <c r="BN101" s="12">
        <f>M101/4.26</f>
        <v>2.347417840375587</v>
      </c>
      <c r="BO101" s="5">
        <f>IF(M101&lt;8,1.22,IF(M101&lt;15.2,0.108333*M101+0.353,2))</f>
        <v>1.43633</v>
      </c>
      <c r="BP101" s="12">
        <f>IF(BK101&lt;BO101,1+0.3*(BO101-BK101)/M101,1)</f>
        <v>1.0040899</v>
      </c>
      <c r="BQ101" s="32"/>
      <c r="BR101" s="39">
        <v>0</v>
      </c>
      <c r="BS101" t="s" s="24">
        <v>154</v>
      </c>
      <c r="BT101" s="36"/>
      <c r="BU101" s="36"/>
      <c r="BV101" s="5">
        <f>IF(BQ101&lt;(M101/0.3048)^0.5,1,IF(BU101="x",1-BR101*0.02,IF(BT101="x",1-BR101*0.01,1)))</f>
        <v>1</v>
      </c>
      <c r="BW101" s="12">
        <f>IF(K101="x",MIN(1.315,1.28+U101*N101/BJ101/AR101/1100),IF(L101="x",1.28,MAX(1.245,1.28-U101*N101/BJ101/AR101/1100)))</f>
        <v>1.267670172492069</v>
      </c>
      <c r="BX101" s="41">
        <f>BW101*T101*BV101*BP101*N101^0.3*BJ101^0.4/V101^0.325</f>
        <v>1.262940399923624</v>
      </c>
      <c r="BY101" s="29"/>
      <c r="BZ101" s="29"/>
      <c r="CA101" t="s" s="19">
        <v>162</v>
      </c>
      <c r="CB101" t="s" s="19">
        <v>327</v>
      </c>
      <c r="CC101" t="s" s="19">
        <v>180</v>
      </c>
      <c r="CD101" s="3"/>
      <c r="CE101" s="3"/>
      <c r="CF101" s="3"/>
      <c r="CG101" t="s" s="30">
        <f>A101</f>
        <v>764</v>
      </c>
    </row>
    <row r="102" ht="12.75" customHeight="1">
      <c r="A102" t="s" s="25">
        <v>765</v>
      </c>
      <c r="B102" t="s" s="19">
        <v>766</v>
      </c>
      <c r="C102" t="s" s="19">
        <v>767</v>
      </c>
      <c r="D102" t="s" s="19">
        <v>768</v>
      </c>
      <c r="E102" s="3"/>
      <c r="F102" s="3"/>
      <c r="G102" s="3"/>
      <c r="H102" s="32"/>
      <c r="I102" s="32"/>
      <c r="J102" t="s" s="24">
        <v>154</v>
      </c>
      <c r="K102" s="36"/>
      <c r="L102" s="36"/>
      <c r="M102" s="11">
        <v>10.2</v>
      </c>
      <c r="N102" s="5">
        <v>10.2</v>
      </c>
      <c r="O102" s="11">
        <v>5.8</v>
      </c>
      <c r="P102" s="11">
        <v>0.8</v>
      </c>
      <c r="Q102" s="37"/>
      <c r="R102" s="36"/>
      <c r="S102" s="36"/>
      <c r="T102" s="38">
        <f>IF(S102&gt;0,1.048,IF(R102&gt;0,1.048,IF(Q102&gt;0,1.036,0.907+1.55*(P102/N102)-4.449*(P102/N102)^2)))</f>
        <v>1.001200692041523</v>
      </c>
      <c r="U102" s="39">
        <v>2500</v>
      </c>
      <c r="V102" s="40">
        <f>IF(H102="x",75+U102,IF(M102&lt;6.66,150+U102,-1.7384*M102^2+92.38*M102-388+U102))</f>
        <v>2873.412864</v>
      </c>
      <c r="W102" s="5">
        <v>4.15</v>
      </c>
      <c r="X102" s="5">
        <v>3.5</v>
      </c>
      <c r="Y102" s="5">
        <v>2.86</v>
      </c>
      <c r="Z102" s="5">
        <v>1.82</v>
      </c>
      <c r="AA102" s="5">
        <v>0.2</v>
      </c>
      <c r="AB102" s="5">
        <v>0</v>
      </c>
      <c r="AC102" s="5">
        <v>11.2</v>
      </c>
      <c r="AD102" s="33"/>
      <c r="AE102" s="5">
        <f>IF(AD102=0,(W102+4*X102+2*Y102+4*Z102+AA102)*AC102/12+W102*AB102/1.5,AD102)</f>
        <v>29.25999999999999</v>
      </c>
      <c r="AF102" s="11">
        <v>12.15</v>
      </c>
      <c r="AG102" s="11"/>
      <c r="AH102" s="5">
        <f>IF(AC102=0,AE102+AF102*AG102/2,AE102+AC102*AG102/2)</f>
        <v>29.25999999999999</v>
      </c>
      <c r="AI102" s="3"/>
      <c r="AJ102" s="3"/>
      <c r="AK102" s="33">
        <v>14.5</v>
      </c>
      <c r="AL102" s="5">
        <f>IF(AK102=0,AI102*AJ102/2,AK102)</f>
        <v>14.5</v>
      </c>
      <c r="AM102" s="3"/>
      <c r="AN102" s="5"/>
      <c r="AO102" s="5"/>
      <c r="AP102" s="5">
        <f>AL102+AI102*(AN102-AO102)/2</f>
        <v>14.5</v>
      </c>
      <c r="AQ102" s="5">
        <f>0.1*(AE102+AL102)</f>
        <v>4.375999999999999</v>
      </c>
      <c r="AR102" s="11">
        <v>12.15</v>
      </c>
      <c r="AS102" s="11"/>
      <c r="AT102" s="11"/>
      <c r="AU102" s="11"/>
      <c r="AV102" s="33">
        <v>37.2</v>
      </c>
      <c r="AW102" s="5">
        <f>IF(AV102=0,AS102/6*(AT102+AU102*4),AV102)</f>
        <v>37.2</v>
      </c>
      <c r="AX102" s="11">
        <v>0.4</v>
      </c>
      <c r="AY102" s="5">
        <f>IF(AX102&lt;0.149*M102+0.329,1,AX102/(0.149*M102+0.329))</f>
        <v>1</v>
      </c>
      <c r="AZ102" s="5">
        <f>IF(AW102*AY102&gt;AL102,(AW102*AY102-AL102)/4,0)</f>
        <v>5.675000000000001</v>
      </c>
      <c r="BA102" s="12">
        <f>0.401+0.1831*(2*AR102^2/(AH102+AP102+AZ102))-0.02016*(2*AR102^2/(AH102+AP102+AZ102))^2+0.0007472*(2*AR102^2/(AH102+AP102+AZ102))^3</f>
        <v>0.9346259834674329</v>
      </c>
      <c r="BB102" s="3"/>
      <c r="BC102" s="3"/>
      <c r="BD102" s="3"/>
      <c r="BE102" s="3"/>
      <c r="BF102" s="33"/>
      <c r="BG102" s="5">
        <f>IF(BF102=0,(BC102+BD102)*(BB102/12+BE102/3),BF102)</f>
        <v>0</v>
      </c>
      <c r="BH102" s="5">
        <f>IF(BG102*AY102&gt;AL102+AZ102,BG102*AY102-AL102-AZ102,0)</f>
        <v>0</v>
      </c>
      <c r="BI102" s="5">
        <f>IF(M102/1.6&lt;8,ROUND(M102/1.6,0),8)</f>
        <v>6</v>
      </c>
      <c r="BJ102" s="5">
        <f>(AH102+AP102+AZ102)*BA102+0.1*BH102</f>
        <v>46.20323549271253</v>
      </c>
      <c r="BK102" s="11">
        <v>1.85</v>
      </c>
      <c r="BL102" s="5">
        <f>M102*0.2</f>
        <v>2.04</v>
      </c>
      <c r="BM102" s="5">
        <f>ROUNDDOWN(M102/2.13,0)</f>
        <v>4</v>
      </c>
      <c r="BN102" s="12">
        <f>M102/4.26</f>
        <v>2.394366197183099</v>
      </c>
      <c r="BO102" s="5">
        <f>IF(M102&lt;8,1.22,IF(M102&lt;15.2,0.108333*M102+0.353,2))</f>
        <v>1.4579966</v>
      </c>
      <c r="BP102" s="12">
        <f>IF(BK102&lt;BO102,1+0.3*(BO102-BK102)/M102,1)</f>
        <v>1</v>
      </c>
      <c r="BQ102" s="32"/>
      <c r="BR102" s="39">
        <v>0</v>
      </c>
      <c r="BS102" t="s" s="24">
        <v>154</v>
      </c>
      <c r="BT102" s="36"/>
      <c r="BU102" s="36"/>
      <c r="BV102" s="5">
        <f>IF(BQ102&lt;(M102/0.3048)^0.5,1,IF(BU102="x",1-BR102*0.02,IF(BT102="x",1-BR102*0.01,1)))</f>
        <v>1</v>
      </c>
      <c r="BW102" s="12">
        <f>IF(K102="x",MIN(1.315,1.28+U102*N102/BJ102/AR102/1100),IF(L102="x",1.28,MAX(1.245,1.28-U102*N102/BJ102/AR102/1100)))</f>
        <v>1.245</v>
      </c>
      <c r="BX102" s="41">
        <f>BW102*T102*BV102*BP102*N102^0.3*BJ102^0.4/V102^0.325</f>
        <v>0.8712848036401368</v>
      </c>
      <c r="BY102" s="29"/>
      <c r="BZ102" s="29"/>
      <c r="CA102" t="s" s="19">
        <v>213</v>
      </c>
      <c r="CB102" t="s" s="19">
        <v>769</v>
      </c>
      <c r="CC102" t="s" s="19">
        <v>164</v>
      </c>
      <c r="CD102" s="3"/>
      <c r="CE102" s="3"/>
      <c r="CF102" s="3"/>
      <c r="CG102" t="s" s="30">
        <f>A102</f>
        <v>770</v>
      </c>
    </row>
    <row r="103" ht="12.75" customHeight="1">
      <c r="A103" t="s" s="25">
        <v>771</v>
      </c>
      <c r="B103" t="s" s="19">
        <v>772</v>
      </c>
      <c r="C103" t="s" s="19">
        <v>773</v>
      </c>
      <c r="D103" t="s" s="19">
        <v>774</v>
      </c>
      <c r="E103" t="s" s="19">
        <v>775</v>
      </c>
      <c r="F103" t="s" s="19">
        <v>776</v>
      </c>
      <c r="G103" t="s" s="19">
        <v>777</v>
      </c>
      <c r="H103" s="32"/>
      <c r="I103" s="32"/>
      <c r="J103" s="36"/>
      <c r="K103" t="s" s="24">
        <v>154</v>
      </c>
      <c r="L103" s="36"/>
      <c r="M103" s="11">
        <v>10.3</v>
      </c>
      <c r="N103" s="5">
        <v>10.3</v>
      </c>
      <c r="O103" s="11">
        <v>7.8</v>
      </c>
      <c r="P103" s="11"/>
      <c r="Q103" s="37"/>
      <c r="R103" t="s" s="24">
        <v>778</v>
      </c>
      <c r="S103" s="36"/>
      <c r="T103" s="38">
        <f>IF(S103&gt;0,1.048,IF(R103&gt;0,1.048,IF(Q103&gt;0,1.036,0.907+1.55*(P103/N103)-4.449*(P103/N103)^2)))</f>
        <v>1.048</v>
      </c>
      <c r="U103" s="39">
        <v>3530</v>
      </c>
      <c r="V103" s="40">
        <f>IF(H103="x",75+U103,IF(M103&lt;6.66,150+U103,-1.7384*M103^2+92.38*M103-388+U103))</f>
        <v>3909.087144</v>
      </c>
      <c r="W103" s="5"/>
      <c r="X103" s="5"/>
      <c r="Y103" s="5"/>
      <c r="Z103" s="5"/>
      <c r="AA103" s="5"/>
      <c r="AB103" s="5"/>
      <c r="AC103" s="5"/>
      <c r="AD103" s="33">
        <v>54.6</v>
      </c>
      <c r="AE103" s="5">
        <f>IF(AD103=0,(W103+4*X103+2*Y103+4*Z103+AA103)*AC103/12+W103*AB103/1.5,AD103)</f>
        <v>54.6</v>
      </c>
      <c r="AF103" s="11">
        <v>15.1</v>
      </c>
      <c r="AG103" s="11"/>
      <c r="AH103" s="5">
        <f>IF(AC103=0,AE103+AF103*AG103/2,AE103+AC103*AG103/2)</f>
        <v>54.6</v>
      </c>
      <c r="AI103" s="5">
        <v>13.72</v>
      </c>
      <c r="AJ103" s="3"/>
      <c r="AK103" s="33">
        <v>37</v>
      </c>
      <c r="AL103" s="5">
        <f>IF(AK103=0,AI103*AJ103/2,AK103)</f>
        <v>37</v>
      </c>
      <c r="AM103" s="3"/>
      <c r="AN103" s="5"/>
      <c r="AO103" s="5">
        <v>0.12</v>
      </c>
      <c r="AP103" s="5">
        <f>AL103+AI103*(AN103-AO103)/2</f>
        <v>36.1768</v>
      </c>
      <c r="AQ103" s="5">
        <f>0.1*(AE103+AL103)</f>
        <v>9.16</v>
      </c>
      <c r="AR103" s="11">
        <v>14.8</v>
      </c>
      <c r="AS103" s="11"/>
      <c r="AT103" s="11"/>
      <c r="AU103" s="11"/>
      <c r="AV103" s="33">
        <v>67</v>
      </c>
      <c r="AW103" s="5">
        <f>IF(AV103=0,AS103/6*(AT103+AU103*4),AV103)</f>
        <v>67</v>
      </c>
      <c r="AX103" s="11">
        <v>1</v>
      </c>
      <c r="AY103" s="5">
        <f>IF(AX103&lt;0.149*M103+0.329,1,AX103/(0.149*M103+0.329))</f>
        <v>1</v>
      </c>
      <c r="AZ103" s="5">
        <f>IF(AW103*AY103&gt;AL103,(AW103*AY103-AL103)/4,0)</f>
        <v>7.5</v>
      </c>
      <c r="BA103" s="12">
        <f>0.401+0.1831*(2*AR103^2/(AH103+AP103+AZ103))-0.02016*(2*AR103^2/(AH103+AP103+AZ103))^2+0.0007472*(2*AR103^2/(AH103+AP103+AZ103))^3</f>
        <v>0.8827860642708735</v>
      </c>
      <c r="BB103" s="3"/>
      <c r="BC103" s="3"/>
      <c r="BD103" s="3"/>
      <c r="BE103" s="3"/>
      <c r="BF103" s="33">
        <v>120</v>
      </c>
      <c r="BG103" s="5">
        <f>IF(BF103=0,(BC103+BD103)*(BB103/12+BE103/3),BF103)</f>
        <v>120</v>
      </c>
      <c r="BH103" s="5">
        <f>IF(BG103*AY103&gt;AL103+AZ103,BG103*AY103-AL103-AZ103,0)</f>
        <v>75.5</v>
      </c>
      <c r="BI103" s="5">
        <f>IF(M103/1.6&lt;8,ROUND(M103/1.6,0),8)</f>
        <v>6</v>
      </c>
      <c r="BJ103" s="5">
        <f>(AH103+AP103+AZ103)*BA103+0.1*BH103</f>
        <v>94.30738948113579</v>
      </c>
      <c r="BK103" s="11">
        <v>1.85</v>
      </c>
      <c r="BL103" s="5">
        <f>M103*0.2</f>
        <v>2.06</v>
      </c>
      <c r="BM103" s="5">
        <f>ROUNDDOWN(M103/2.13,0)</f>
        <v>4</v>
      </c>
      <c r="BN103" s="12">
        <f>M103/4.26</f>
        <v>2.417840375586855</v>
      </c>
      <c r="BO103" s="5">
        <f>IF(M103&lt;8,1.22,IF(M103&lt;15.2,0.108333*M103+0.353,2))</f>
        <v>1.4688299</v>
      </c>
      <c r="BP103" s="12">
        <f>IF(BK103&lt;BO103,1+0.3*(BO103-BK103)/M103,1)</f>
        <v>1</v>
      </c>
      <c r="BQ103" s="32"/>
      <c r="BR103" s="32"/>
      <c r="BS103" t="s" s="24">
        <v>154</v>
      </c>
      <c r="BT103" s="36"/>
      <c r="BU103" s="36"/>
      <c r="BV103" s="5">
        <f>IF(BQ103&lt;(M103/0.3048)^0.5,1,IF(BU103="x",1-BR103*0.02,IF(BT103="x",1-BR103*0.01,1)))</f>
        <v>1</v>
      </c>
      <c r="BW103" s="12">
        <f>IF(K103="x",MIN(1.315,1.28+U103*N103/BJ103/AR103/1100),IF(L103="x",1.28,MAX(1.245,1.28-U103*N103/BJ103/AR103/1100)))</f>
        <v>1.303681641710595</v>
      </c>
      <c r="BX103" s="41">
        <f>BW103*T103*BV103*BP103*N103^0.3*BJ103^0.4/V103^0.325</f>
        <v>1.152863261960533</v>
      </c>
      <c r="BY103" s="29"/>
      <c r="BZ103" s="29"/>
      <c r="CA103" t="s" s="19">
        <v>213</v>
      </c>
      <c r="CB103" t="s" s="19">
        <v>779</v>
      </c>
      <c r="CC103" t="s" s="19">
        <v>780</v>
      </c>
      <c r="CD103" t="s" s="19">
        <v>615</v>
      </c>
      <c r="CE103" s="3"/>
      <c r="CF103" s="3"/>
      <c r="CG103" t="s" s="30">
        <f>A103</f>
        <v>781</v>
      </c>
    </row>
    <row r="104" ht="12.75" customHeight="1">
      <c r="A104" t="s" s="25">
        <v>782</v>
      </c>
      <c r="B104" t="s" s="19">
        <v>783</v>
      </c>
      <c r="C104" t="s" s="19">
        <v>784</v>
      </c>
      <c r="D104" t="s" s="19">
        <v>219</v>
      </c>
      <c r="E104" t="s" s="19">
        <v>785</v>
      </c>
      <c r="F104" s="3"/>
      <c r="G104" s="3"/>
      <c r="H104" s="32"/>
      <c r="I104" s="32"/>
      <c r="J104" t="s" s="24">
        <v>154</v>
      </c>
      <c r="K104" s="36"/>
      <c r="L104" s="36"/>
      <c r="M104" s="11">
        <v>12.6</v>
      </c>
      <c r="N104" s="5">
        <v>12.5</v>
      </c>
      <c r="O104" s="11"/>
      <c r="P104" s="11"/>
      <c r="Q104" s="37"/>
      <c r="R104" t="s" s="24">
        <v>161</v>
      </c>
      <c r="S104" s="36"/>
      <c r="T104" s="38">
        <f>IF(S104&gt;0,1.048,IF(R104&gt;0,1.048,IF(Q104&gt;0,1.036,0.907+1.55*(P104/N104)-4.449*(P104/N104)^2)))</f>
        <v>1.048</v>
      </c>
      <c r="U104" s="39">
        <v>6700</v>
      </c>
      <c r="V104" s="40">
        <f>IF(H104="x",75+U104,IF(M104&lt;6.66,150+U104,-1.7384*M104^2+92.38*M104-388+U104))</f>
        <v>7199.999616</v>
      </c>
      <c r="W104" s="5"/>
      <c r="X104" s="5"/>
      <c r="Y104" s="5"/>
      <c r="Z104" s="5"/>
      <c r="AA104" s="5"/>
      <c r="AB104" s="5"/>
      <c r="AC104" s="5"/>
      <c r="AD104" s="33">
        <v>63</v>
      </c>
      <c r="AE104" s="5">
        <f>IF(AD104=0,(W104+4*X104+2*Y104+4*Z104+AA104)*AC104/12+W104*AB104/1.5,AD104)</f>
        <v>63</v>
      </c>
      <c r="AF104" s="11">
        <v>17.5</v>
      </c>
      <c r="AG104" s="11"/>
      <c r="AH104" s="5">
        <f>IF(AC104=0,AE104+AF104*AG104/2,AE104+AC104*AG104/2)</f>
        <v>63</v>
      </c>
      <c r="AI104" s="3"/>
      <c r="AJ104" s="3"/>
      <c r="AK104" s="33">
        <v>38</v>
      </c>
      <c r="AL104" s="5">
        <f>IF(AK104=0,AI104*AJ104/2,AK104)</f>
        <v>38</v>
      </c>
      <c r="AM104" s="3"/>
      <c r="AN104" s="5"/>
      <c r="AO104" s="5"/>
      <c r="AP104" s="5">
        <f>AL104+AI104*(AN104-AO104)/2</f>
        <v>38</v>
      </c>
      <c r="AQ104" s="5">
        <f>0.1*(AE104+AL104)</f>
        <v>10.1</v>
      </c>
      <c r="AR104" s="11">
        <v>17.5</v>
      </c>
      <c r="AS104" s="11"/>
      <c r="AT104" s="11"/>
      <c r="AU104" s="11"/>
      <c r="AV104" s="33">
        <v>0</v>
      </c>
      <c r="AW104" s="5">
        <f>IF(AV104=0,AS104/6*(AT104+AU104*4),AV104)</f>
        <v>0</v>
      </c>
      <c r="AX104" s="11">
        <v>0</v>
      </c>
      <c r="AY104" s="5">
        <f>IF(AX104&lt;0.149*M104+0.329,1,AX104/(0.149*M104+0.329))</f>
        <v>1</v>
      </c>
      <c r="AZ104" s="5">
        <f>IF(AW104*AY104&gt;AL104,(AW104*AY104-AL104)/4,0)</f>
        <v>0</v>
      </c>
      <c r="BA104" s="12">
        <f>0.401+0.1831*(2*AR104^2/(AH104+AP104+AZ104))-0.02016*(2*AR104^2/(AH104+AP104+AZ104))^2+0.0007472*(2*AR104^2/(AH104+AP104+AZ104))^3</f>
        <v>0.936615570716713</v>
      </c>
      <c r="BB104" s="3"/>
      <c r="BC104" s="3"/>
      <c r="BD104" s="3"/>
      <c r="BE104" s="3"/>
      <c r="BF104" s="33">
        <v>140</v>
      </c>
      <c r="BG104" s="5">
        <f>IF(BF104=0,(BC104+BD104)*(BB104/12+BE104/3),BF104)</f>
        <v>140</v>
      </c>
      <c r="BH104" s="5">
        <f>IF(BG104*AY104&gt;AL104+AZ104,BG104*AY104-AL104-AZ104,0)</f>
        <v>102</v>
      </c>
      <c r="BI104" s="5">
        <f>IF(M104/1.6&lt;8,ROUND(M104/1.6,0),8)</f>
        <v>8</v>
      </c>
      <c r="BJ104" s="5">
        <f>(AH104+AP104+AZ104)*BA104+0.1*BH104</f>
        <v>104.798172642388</v>
      </c>
      <c r="BK104" s="11">
        <v>1.8</v>
      </c>
      <c r="BL104" s="5">
        <f>M104*0.2</f>
        <v>2.52</v>
      </c>
      <c r="BM104" s="5">
        <f>ROUNDDOWN(M104/2.13,0)</f>
        <v>5</v>
      </c>
      <c r="BN104" s="12">
        <f>M104/4.26</f>
        <v>2.957746478873239</v>
      </c>
      <c r="BO104" s="5">
        <f>IF(M104&lt;8,1.22,IF(M104&lt;15.2,0.108333*M104+0.353,2))</f>
        <v>1.7179958</v>
      </c>
      <c r="BP104" s="12">
        <f>IF(BK104&lt;BO104,1+0.3*(BO104-BK104)/M104,1)</f>
        <v>1</v>
      </c>
      <c r="BQ104" s="39">
        <v>8</v>
      </c>
      <c r="BR104" s="39">
        <v>2</v>
      </c>
      <c r="BS104" s="36"/>
      <c r="BT104" t="s" s="24">
        <v>154</v>
      </c>
      <c r="BU104" s="36"/>
      <c r="BV104" s="5">
        <f>IF(BQ104&lt;(M104/0.3048)^0.5,1,IF(BU104="x",1-BR104*0.02,IF(BT104="x",1-BR104*0.01,1)))</f>
        <v>0.98</v>
      </c>
      <c r="BW104" s="12">
        <f>IF(K104="x",MIN(1.315,1.28+U104*N104/BJ104/AR104/1100),IF(L104="x",1.28,MAX(1.245,1.28-U104*N104/BJ104/AR104/1100)))</f>
        <v>1.245</v>
      </c>
      <c r="BX104" s="41">
        <f>BW104*T104*BV104*BP104*N104^0.3*BJ104^0.4/V104^0.325</f>
        <v>0.9779983990068792</v>
      </c>
      <c r="BY104" s="29"/>
      <c r="BZ104" s="29"/>
      <c r="CA104" t="s" s="19">
        <v>162</v>
      </c>
      <c r="CB104" t="s" s="19">
        <v>163</v>
      </c>
      <c r="CC104" t="s" s="19">
        <v>786</v>
      </c>
      <c r="CD104" s="3"/>
      <c r="CE104" s="3"/>
      <c r="CF104" s="3"/>
      <c r="CG104" t="s" s="30">
        <f>A104</f>
        <v>787</v>
      </c>
    </row>
    <row r="105" ht="12.75" customHeight="1">
      <c r="A105" t="s" s="25">
        <v>788</v>
      </c>
      <c r="B105" t="s" s="19">
        <v>217</v>
      </c>
      <c r="C105" t="s" s="19">
        <v>218</v>
      </c>
      <c r="D105" t="s" s="19">
        <v>219</v>
      </c>
      <c r="E105" t="s" s="19">
        <v>789</v>
      </c>
      <c r="F105" t="s" s="19">
        <v>790</v>
      </c>
      <c r="G105" t="s" s="19">
        <v>791</v>
      </c>
      <c r="H105" s="32"/>
      <c r="I105" s="32"/>
      <c r="J105" t="s" s="24">
        <v>154</v>
      </c>
      <c r="K105" s="36"/>
      <c r="L105" s="36"/>
      <c r="M105" s="11">
        <v>14.3</v>
      </c>
      <c r="N105" s="5">
        <v>14.3</v>
      </c>
      <c r="O105" s="11">
        <v>7.5</v>
      </c>
      <c r="P105" s="11"/>
      <c r="Q105" s="37"/>
      <c r="R105" t="s" s="24">
        <v>792</v>
      </c>
      <c r="S105" s="36"/>
      <c r="T105" s="38">
        <f>IF(S105&gt;0,1.048,IF(R105&gt;0,1.048,IF(Q105&gt;0,1.036,0.907+1.55*(P105/N105)-4.449*(P105/N105)^2)))</f>
        <v>1.048</v>
      </c>
      <c r="U105" s="39">
        <v>13500</v>
      </c>
      <c r="V105" s="40">
        <f>IF(H105="x",75+U105,IF(M105&lt;6.66,150+U105,-1.7384*M105^2+92.38*M105-388+U105))</f>
        <v>14077.548584</v>
      </c>
      <c r="W105" s="5"/>
      <c r="X105" s="5"/>
      <c r="Y105" s="5"/>
      <c r="Z105" s="5"/>
      <c r="AA105" s="5"/>
      <c r="AB105" s="5"/>
      <c r="AC105" s="5">
        <v>17.77</v>
      </c>
      <c r="AD105" s="33">
        <v>80</v>
      </c>
      <c r="AE105" s="5">
        <f>IF(AD105=0,(W105+4*X105+2*Y105+4*Z105+AA105)*AC105/12+W105*AB105/1.5,AD105)</f>
        <v>80</v>
      </c>
      <c r="AF105" s="11">
        <v>19.5</v>
      </c>
      <c r="AG105" s="11"/>
      <c r="AH105" s="5">
        <f>IF(AC105=0,AE105+AF105*AG105/2,AE105+AC105*AG105/2)</f>
        <v>80</v>
      </c>
      <c r="AI105" s="3"/>
      <c r="AJ105" s="3"/>
      <c r="AK105" s="33">
        <v>78</v>
      </c>
      <c r="AL105" s="5">
        <f>IF(AK105=0,AI105*AJ105/2,AK105)</f>
        <v>78</v>
      </c>
      <c r="AM105" s="3"/>
      <c r="AN105" s="5"/>
      <c r="AO105" s="5">
        <v>0.16</v>
      </c>
      <c r="AP105" s="5">
        <f>AL105+AI105*(AN105-AO105)/2</f>
        <v>78</v>
      </c>
      <c r="AQ105" s="5">
        <f>0.1*(AE105+AL105)</f>
        <v>15.8</v>
      </c>
      <c r="AR105" s="11">
        <v>19.5</v>
      </c>
      <c r="AS105" s="11"/>
      <c r="AT105" s="11"/>
      <c r="AU105" s="11"/>
      <c r="AV105" s="33">
        <v>98.7</v>
      </c>
      <c r="AW105" s="5">
        <f>IF(AV105=0,AS105/6*(AT105+AU105*4),AV105)</f>
        <v>98.7</v>
      </c>
      <c r="AX105" s="11">
        <v>1</v>
      </c>
      <c r="AY105" s="5">
        <f>IF(AX105&lt;0.149*M105+0.329,1,AX105/(0.149*M105+0.329))</f>
        <v>1</v>
      </c>
      <c r="AZ105" s="5">
        <f>IF(AW105*AY105&gt;AL105,(AW105*AY105-AL105)/4,0)</f>
        <v>5.175000000000001</v>
      </c>
      <c r="BA105" s="12">
        <f>0.401+0.1831*(2*AR105^2/(AH105+AP105+AZ105))-0.02016*(2*AR105^2/(AH105+AP105+AZ105))^2+0.0007472*(2*AR105^2/(AH105+AP105+AZ105))^3</f>
        <v>0.8921002825090726</v>
      </c>
      <c r="BB105" s="3"/>
      <c r="BC105" s="3"/>
      <c r="BD105" s="3"/>
      <c r="BE105" s="3"/>
      <c r="BF105" s="33">
        <v>160</v>
      </c>
      <c r="BG105" s="5">
        <f>IF(BF105=0,(BC105+BD105)*(BB105/12+BE105/3),BF105)</f>
        <v>160</v>
      </c>
      <c r="BH105" s="5">
        <f>IF(BG105*AY105&gt;AL105+AZ105,BG105*AY105-AL105-AZ105,0)</f>
        <v>76.825</v>
      </c>
      <c r="BI105" s="42">
        <f>IF(M105/1.6&lt;8,ROUND(M105/1.6,0),8)</f>
        <v>8</v>
      </c>
      <c r="BJ105" s="5">
        <f>(AH105+AP105+AZ105)*BA105+0.1*BH105</f>
        <v>153.2509635984179</v>
      </c>
      <c r="BK105" s="11">
        <v>2</v>
      </c>
      <c r="BL105" s="5">
        <f>M105*0.2</f>
        <v>2.86</v>
      </c>
      <c r="BM105" s="5">
        <f>ROUNDDOWN(M105/2.13,0)</f>
        <v>6</v>
      </c>
      <c r="BN105" s="12">
        <f>M105/4.26</f>
        <v>3.356807511737089</v>
      </c>
      <c r="BO105" s="5">
        <f>IF(M105&lt;8,1.22,IF(M105&lt;15.2,0.108333*M105+0.353,2))</f>
        <v>1.9021619</v>
      </c>
      <c r="BP105" s="12">
        <f>IF(BK105&lt;BO105,1+0.3*(BO105-BK105)/M105,1)</f>
        <v>1</v>
      </c>
      <c r="BQ105" s="39">
        <v>8</v>
      </c>
      <c r="BR105" s="39">
        <v>2</v>
      </c>
      <c r="BS105" s="36"/>
      <c r="BT105" t="s" s="24">
        <v>154</v>
      </c>
      <c r="BU105" s="36"/>
      <c r="BV105" s="5">
        <f>IF(BQ105&lt;(M105/0.3048)^0.5,1,IF(BU105="x",1-BR105*0.02,IF(BT105="x",1-BR105*0.01,1)))</f>
        <v>0.98</v>
      </c>
      <c r="BW105" s="12">
        <f>IF(K105="x",MIN(1.315,1.28+U105*N105/BJ105/AR105/1100),IF(L105="x",1.28,MAX(1.245,1.28-U105*N105/BJ105/AR105/1100)))</f>
        <v>1.245</v>
      </c>
      <c r="BX105" s="41">
        <f>BW105*T105*BV105*BP105*N105^0.3*BJ105^0.4/V105^0.325</f>
        <v>0.9533393520658977</v>
      </c>
      <c r="BY105" s="29"/>
      <c r="BZ105" s="29"/>
      <c r="CA105" t="s" s="19">
        <v>188</v>
      </c>
      <c r="CB105" t="s" s="19">
        <v>321</v>
      </c>
      <c r="CC105" t="s" s="19">
        <v>180</v>
      </c>
      <c r="CD105" t="s" s="19">
        <v>660</v>
      </c>
      <c r="CE105" s="3"/>
      <c r="CF105" s="3"/>
      <c r="CG105" t="s" s="30">
        <f>A105</f>
        <v>793</v>
      </c>
    </row>
    <row r="106" ht="12.75" customHeight="1">
      <c r="A106" t="s" s="25">
        <v>794</v>
      </c>
      <c r="B106" t="s" s="19">
        <v>795</v>
      </c>
      <c r="C106" t="s" s="19">
        <v>796</v>
      </c>
      <c r="D106" t="s" s="19">
        <v>796</v>
      </c>
      <c r="E106" t="s" s="19">
        <v>797</v>
      </c>
      <c r="F106" s="3"/>
      <c r="G106" t="s" s="19">
        <v>798</v>
      </c>
      <c r="H106" s="32"/>
      <c r="I106" s="32"/>
      <c r="J106" s="36"/>
      <c r="K106" t="s" s="24">
        <v>154</v>
      </c>
      <c r="L106" s="36"/>
      <c r="M106" s="11">
        <v>8.5</v>
      </c>
      <c r="N106" s="5">
        <v>8.5</v>
      </c>
      <c r="O106" t="s" s="68">
        <v>799</v>
      </c>
      <c r="P106" s="11"/>
      <c r="Q106" s="37"/>
      <c r="R106" t="s" s="24">
        <v>154</v>
      </c>
      <c r="S106" s="36"/>
      <c r="T106" s="38">
        <f>IF(S106&gt;0,1.048,IF(R106&gt;0,1.048,IF(Q106&gt;0,1.036,0.907+1.55*(P106/N106)-4.449*(P106/N106)^2)))</f>
        <v>1.048</v>
      </c>
      <c r="U106" s="39">
        <v>761</v>
      </c>
      <c r="V106" s="40">
        <f>IF(H106="x",75+U106,IF(M106&lt;6.66,150+U106,-1.7384*M106^2+92.38*M106-388+U106))</f>
        <v>1032.6306</v>
      </c>
      <c r="W106" s="5">
        <v>3.4</v>
      </c>
      <c r="X106" s="5">
        <v>3.47</v>
      </c>
      <c r="Y106" s="5">
        <v>3.3</v>
      </c>
      <c r="Z106" s="5">
        <v>2.69</v>
      </c>
      <c r="AA106" s="5">
        <v>0.13</v>
      </c>
      <c r="AB106" s="5">
        <v>0.19</v>
      </c>
      <c r="AC106" s="5">
        <v>11.4</v>
      </c>
      <c r="AD106" s="33"/>
      <c r="AE106" s="5">
        <f>IF(AD106=0,(W106+4*X106+2*Y106+4*Z106+AA106)*AC106/12+W106*AB106/1.5,AD106)</f>
        <v>33.46216666666667</v>
      </c>
      <c r="AF106" s="11"/>
      <c r="AG106" s="11">
        <v>0</v>
      </c>
      <c r="AH106" s="5">
        <f>IF(AC106=0,AE106+AF106*AG106/2,AE106+AC106*AG106/2)</f>
        <v>33.46216666666667</v>
      </c>
      <c r="AI106" s="5">
        <v>9.300000000000001</v>
      </c>
      <c r="AJ106" s="5">
        <v>2.55</v>
      </c>
      <c r="AK106" s="33"/>
      <c r="AL106" s="5">
        <f>IF(AK106=0,AI106*AJ106/2,AK106)</f>
        <v>11.8575</v>
      </c>
      <c r="AM106" t="s" s="19">
        <v>154</v>
      </c>
      <c r="AN106" s="5"/>
      <c r="AO106" s="5"/>
      <c r="AP106" s="5">
        <f>AL106+AI106*(AN106-AO106)/2</f>
        <v>11.8575</v>
      </c>
      <c r="AQ106" s="5">
        <f>0.1*(AE106+AL106)</f>
        <v>4.531966666666667</v>
      </c>
      <c r="AR106" s="11">
        <v>12.35</v>
      </c>
      <c r="AS106" s="11"/>
      <c r="AT106" s="11"/>
      <c r="AU106" s="11"/>
      <c r="AV106" s="33"/>
      <c r="AW106" s="5">
        <f>IF(AV106=0,AS106/6*(AT106+AU106*4),AV106)</f>
        <v>0</v>
      </c>
      <c r="AX106" s="11">
        <v>1.32</v>
      </c>
      <c r="AY106" s="5">
        <f>IF(AX106&lt;0.149*M106+0.329,1,AX106/(0.149*M106+0.329))</f>
        <v>1</v>
      </c>
      <c r="AZ106" s="5">
        <f>IF(AW106*AY106&gt;AL106,(AW106*AY106-AL106)/4,0)</f>
        <v>0</v>
      </c>
      <c r="BA106" s="12">
        <f>0.401+0.1831*(2*AR106^2/(AH106+AP106+AZ106))-0.02016*(2*AR106^2/(AH106+AP106+AZ106))^2+0.0007472*(2*AR106^2/(AH106+AP106+AZ106))^3</f>
        <v>0.9479333285732083</v>
      </c>
      <c r="BB106" s="5">
        <v>5.01</v>
      </c>
      <c r="BC106" s="5">
        <v>10.91</v>
      </c>
      <c r="BD106" s="5">
        <v>8.91</v>
      </c>
      <c r="BE106" s="5">
        <v>4.325</v>
      </c>
      <c r="BF106" s="33"/>
      <c r="BG106" s="5">
        <f>IF(BF106=0,(BC106+BD106)*(BB106/12+BE106/3),BF106)</f>
        <v>36.84868333333333</v>
      </c>
      <c r="BH106" s="5">
        <f>IF(BG106*AY106&gt;AL106+AZ106,BG106*AY106-AL106-AZ106,0)</f>
        <v>24.99118333333333</v>
      </c>
      <c r="BI106" s="5">
        <f>IF(M106/1.6&lt;8,ROUND(M106/1.6,0),8)</f>
        <v>5</v>
      </c>
      <c r="BJ106" s="5">
        <f>(AH106+AP106+AZ106)*BA106+0.1*BH106</f>
        <v>45.45914080649495</v>
      </c>
      <c r="BK106" s="11">
        <v>1.14</v>
      </c>
      <c r="BL106" s="5">
        <f>M106*0.2</f>
        <v>1.7</v>
      </c>
      <c r="BM106" s="5">
        <f>ROUNDDOWN(M106/2.13,0)</f>
        <v>3</v>
      </c>
      <c r="BN106" s="12">
        <f>M106/4.26</f>
        <v>1.995305164319249</v>
      </c>
      <c r="BO106" s="5">
        <f>IF(M106&lt;8,1.22,IF(M106&lt;15.2,0.108333*M106+0.353,2))</f>
        <v>1.2738305</v>
      </c>
      <c r="BP106" s="12">
        <f>IF(BK106&lt;BO106,1+0.3*(BO106-BK106)/M106,1)</f>
        <v>1.004723429411765</v>
      </c>
      <c r="BQ106" s="32"/>
      <c r="BR106" s="32"/>
      <c r="BS106" t="s" s="24">
        <v>154</v>
      </c>
      <c r="BT106" s="36"/>
      <c r="BU106" s="36"/>
      <c r="BV106" s="5">
        <f>IF(BQ106&lt;(M106/0.3048)^0.5,1,IF(BU106="x",1-BR106*0.02,IF(BT106="x",1-BR106*0.01,1)))</f>
        <v>1</v>
      </c>
      <c r="BW106" s="12">
        <f>IF(K106="x",MIN(1.315,1.28+U106*N106/BJ106/AR106/1100),IF(L106="x",1.28,MAX(1.245,1.28-U106*N106/BJ106/AR106/1100)))</f>
        <v>1.290474244721225</v>
      </c>
      <c r="BX106" s="41">
        <f>BW106*T106*BV106*BP106*N106^0.3*BJ106^0.4/V106^0.325</f>
        <v>1.245945938924837</v>
      </c>
      <c r="BY106" s="3"/>
      <c r="BZ106" s="3"/>
      <c r="CA106" t="s" s="19">
        <v>253</v>
      </c>
      <c r="CB106" s="46">
        <v>36681</v>
      </c>
      <c r="CC106" t="s" s="19">
        <v>254</v>
      </c>
      <c r="CD106" s="3"/>
      <c r="CE106" s="3"/>
      <c r="CF106" s="3"/>
      <c r="CG106" t="s" s="30">
        <f>A106</f>
        <v>800</v>
      </c>
    </row>
    <row r="107" ht="12.75" customHeight="1">
      <c r="A107" t="s" s="25">
        <v>801</v>
      </c>
      <c r="B107" t="s" s="19">
        <v>802</v>
      </c>
      <c r="C107" t="s" s="19">
        <v>803</v>
      </c>
      <c r="D107" t="s" s="19">
        <v>169</v>
      </c>
      <c r="E107" t="s" s="19">
        <v>804</v>
      </c>
      <c r="F107" t="s" s="19">
        <v>805</v>
      </c>
      <c r="G107" t="s" s="19">
        <v>806</v>
      </c>
      <c r="H107" s="32"/>
      <c r="I107" s="32"/>
      <c r="J107" s="36"/>
      <c r="K107" t="s" s="24">
        <v>154</v>
      </c>
      <c r="L107" s="36"/>
      <c r="M107" s="11">
        <v>7.42</v>
      </c>
      <c r="N107" s="5">
        <v>7.27</v>
      </c>
      <c r="O107" s="11">
        <v>5.47</v>
      </c>
      <c r="P107" s="11"/>
      <c r="Q107" s="37"/>
      <c r="R107" s="43">
        <v>0.3</v>
      </c>
      <c r="S107" s="36"/>
      <c r="T107" s="38">
        <f>IF(S107&gt;0,1.048,IF(R107&gt;0,1.048,IF(Q107&gt;0,1.036,0.907+1.55*(P107/N107)-4.449*(P107/N107)^2)))</f>
        <v>1.048</v>
      </c>
      <c r="U107" s="39">
        <v>550</v>
      </c>
      <c r="V107" s="40">
        <f>IF(H107="x",75+U107,IF(M107&lt;6.66,150+U107,-1.7384*M107^2+92.38*M107-388+U107))</f>
        <v>751.74955424</v>
      </c>
      <c r="W107" s="5"/>
      <c r="X107" s="5"/>
      <c r="Y107" s="5"/>
      <c r="Z107" s="5"/>
      <c r="AA107" s="5"/>
      <c r="AB107" s="5"/>
      <c r="AC107" s="5">
        <v>10.2</v>
      </c>
      <c r="AD107" s="33">
        <v>20.7</v>
      </c>
      <c r="AE107" s="5">
        <f>IF(AD107=0,(W107+4*X107+2*Y107+4*Z107+AA107)*AC107/12+W107*AB107/1.5,AD107)</f>
        <v>20.7</v>
      </c>
      <c r="AF107" s="11">
        <v>11</v>
      </c>
      <c r="AG107" s="11">
        <v>0.35</v>
      </c>
      <c r="AH107" s="5">
        <f>IF(AC107=0,AE107+AF107*AG107/2,AE107+AC107*AG107/2)</f>
        <v>22.485</v>
      </c>
      <c r="AI107" s="5">
        <v>8.050000000000001</v>
      </c>
      <c r="AJ107" s="3"/>
      <c r="AK107" s="33">
        <v>9.300000000000001</v>
      </c>
      <c r="AL107" s="5">
        <f>IF(AK107=0,AI107*AJ107/2,AK107)</f>
        <v>9.300000000000001</v>
      </c>
      <c r="AM107" t="s" s="19">
        <v>154</v>
      </c>
      <c r="AN107" s="5"/>
      <c r="AO107" s="5"/>
      <c r="AP107" s="5">
        <f>AL107+AI107*(AN107-AO107)/2</f>
        <v>9.300000000000001</v>
      </c>
      <c r="AQ107" s="5">
        <f>0.1*(AE107+AL107)</f>
        <v>3</v>
      </c>
      <c r="AR107" s="11">
        <v>11.34</v>
      </c>
      <c r="AS107" s="11"/>
      <c r="AT107" s="11"/>
      <c r="AU107" s="11"/>
      <c r="AV107" s="33">
        <v>0</v>
      </c>
      <c r="AW107" s="5">
        <f>IF(AV107=0,AS107/6*(AT107+AU107*4),AV107)</f>
        <v>0</v>
      </c>
      <c r="AX107" s="11">
        <v>0.6</v>
      </c>
      <c r="AY107" s="5">
        <f>IF(AX107&lt;0.149*M107+0.329,1,AX107/(0.149*M107+0.329))</f>
        <v>1</v>
      </c>
      <c r="AZ107" s="5">
        <f>IF(AW107*AY107&gt;AL107,(AW107*AY107-AL107)/4,0)</f>
        <v>0</v>
      </c>
      <c r="BA107" s="12">
        <f>0.401+0.1831*(2*AR107^2/(AH107+AP107+AZ107))-0.02016*(2*AR107^2/(AH107+AP107+AZ107))^2+0.0007472*(2*AR107^2/(AH107+AP107+AZ107))^3</f>
        <v>0.9584748718792475</v>
      </c>
      <c r="BB107" s="3"/>
      <c r="BC107" s="3"/>
      <c r="BD107" s="3"/>
      <c r="BE107" s="3"/>
      <c r="BF107" s="33">
        <v>25</v>
      </c>
      <c r="BG107" s="5">
        <f>IF(BF107=0,(BC107+BD107)*(BB107/12+BE107/3),BF107)</f>
        <v>25</v>
      </c>
      <c r="BH107" s="5">
        <f>IF(BG107*AY107&gt;AL107+AZ107,BG107*AY107-AL107-AZ107,0)</f>
        <v>15.7</v>
      </c>
      <c r="BI107" s="5">
        <f>IF(M107/1.6&lt;8,ROUND(M107/1.6,0),8)</f>
        <v>5</v>
      </c>
      <c r="BJ107" s="5">
        <f>(AH107+AP107+AZ107)*BA107+0.1*BH107</f>
        <v>32.03512380268188</v>
      </c>
      <c r="BK107" s="11">
        <v>1.2</v>
      </c>
      <c r="BL107" s="5">
        <f>M107*0.2</f>
        <v>1.484</v>
      </c>
      <c r="BM107" s="5">
        <f>ROUNDDOWN(M107/2.13,0)</f>
        <v>3</v>
      </c>
      <c r="BN107" s="12">
        <f>M107/4.26</f>
        <v>1.741784037558685</v>
      </c>
      <c r="BO107" s="5">
        <f>IF(M107&lt;8,1.22,IF(M107&lt;15.2,0.108333*M107+0.353,2))</f>
        <v>1.22</v>
      </c>
      <c r="BP107" s="12">
        <f>IF(BK107&lt;BO107,1+0.3*(BO107-BK107)/M107,1)</f>
        <v>1.000808625336927</v>
      </c>
      <c r="BQ107" s="39">
        <v>6</v>
      </c>
      <c r="BR107" s="39">
        <v>1</v>
      </c>
      <c r="BS107" t="s" s="24">
        <v>154</v>
      </c>
      <c r="BT107" s="36"/>
      <c r="BU107" s="36"/>
      <c r="BV107" s="5">
        <f>IF(BQ107&lt;(M107/0.3048)^0.5,1,IF(BU107="x",1-BR107*0.02,IF(BT107="x",1-BR107*0.01,1)))</f>
        <v>1</v>
      </c>
      <c r="BW107" s="12">
        <f>IF(K107="x",MIN(1.315,1.28+U107*N107/BJ107/AR107/1100),IF(L107="x",1.28,MAX(1.245,1.28-U107*N107/BJ107/AR107/1100)))</f>
        <v>1.290006102651196</v>
      </c>
      <c r="BX107" s="41">
        <f>BW107*T107*BV107*BP107*N107^0.3*BJ107^0.4/V107^0.325</f>
        <v>1.141014569111036</v>
      </c>
      <c r="BY107" s="29"/>
      <c r="BZ107" s="29"/>
      <c r="CA107" s="3"/>
      <c r="CB107" s="3"/>
      <c r="CC107" s="3"/>
      <c r="CD107" s="3"/>
      <c r="CE107" s="3"/>
      <c r="CF107" s="3"/>
      <c r="CG107" t="s" s="30">
        <f>A107</f>
        <v>807</v>
      </c>
    </row>
    <row r="108" ht="12.75" customHeight="1">
      <c r="A108" t="s" s="25">
        <v>808</v>
      </c>
      <c r="B108" t="s" s="19">
        <v>809</v>
      </c>
      <c r="C108" s="3"/>
      <c r="D108" s="3"/>
      <c r="E108" t="s" s="19">
        <v>810</v>
      </c>
      <c r="F108" s="3"/>
      <c r="G108" s="3"/>
      <c r="H108" s="32"/>
      <c r="I108" s="32"/>
      <c r="J108" t="s" s="24">
        <v>154</v>
      </c>
      <c r="K108" s="36"/>
      <c r="L108" s="36"/>
      <c r="M108" s="11">
        <v>8.529999999999999</v>
      </c>
      <c r="N108" s="5">
        <v>8.529999999999999</v>
      </c>
      <c r="O108" s="11"/>
      <c r="P108" s="11"/>
      <c r="Q108" s="37"/>
      <c r="R108" t="s" s="24">
        <v>161</v>
      </c>
      <c r="S108" s="36"/>
      <c r="T108" s="38">
        <f>IF(S108&gt;0,1.048,IF(R108&gt;0,1.048,IF(Q108&gt;0,1.036,0.907+1.55*(P108/N108)-4.449*(P108/N108)^2)))</f>
        <v>1.048</v>
      </c>
      <c r="U108" s="39">
        <v>865</v>
      </c>
      <c r="V108" s="40">
        <f>IF(H108="x",75+U108,IF(M108&lt;6.66,150+U108,-1.7384*M108^2+92.38*M108-388+U108))</f>
        <v>1138.51385144</v>
      </c>
      <c r="W108" s="5"/>
      <c r="X108" s="5"/>
      <c r="Y108" s="5"/>
      <c r="Z108" s="5"/>
      <c r="AA108" s="5"/>
      <c r="AB108" s="5"/>
      <c r="AC108" s="5"/>
      <c r="AD108" s="33">
        <v>50.49</v>
      </c>
      <c r="AE108" s="5">
        <f>IF(AD108=0,(W108+4*X108+2*Y108+4*Z108+AA108)*AC108/12+W108*AB108/1.5,AD108)</f>
        <v>50.49</v>
      </c>
      <c r="AF108" s="11">
        <v>14.7</v>
      </c>
      <c r="AG108" s="11"/>
      <c r="AH108" s="5">
        <f>IF(AC108=0,AE108+AF108*AG108/2,AE108+AC108*AG108/2)</f>
        <v>50.49</v>
      </c>
      <c r="AI108" s="3"/>
      <c r="AJ108" s="3"/>
      <c r="AK108" s="33">
        <v>15</v>
      </c>
      <c r="AL108" s="5">
        <f>IF(AK108=0,AI108*AJ108/2,AK108)</f>
        <v>15</v>
      </c>
      <c r="AM108" s="3"/>
      <c r="AN108" s="5"/>
      <c r="AO108" s="5"/>
      <c r="AP108" s="5">
        <f>AL108+AI108*(AN108-AO108)/2</f>
        <v>15</v>
      </c>
      <c r="AQ108" s="5">
        <f>0.1*(AE108+AL108)</f>
        <v>6.549000000000001</v>
      </c>
      <c r="AR108" s="11">
        <v>14.7</v>
      </c>
      <c r="AS108" s="11"/>
      <c r="AT108" s="11"/>
      <c r="AU108" s="11"/>
      <c r="AV108" s="33">
        <v>0</v>
      </c>
      <c r="AW108" s="5">
        <f>IF(AV108=0,AS108/6*(AT108+AU108*4),AV108)</f>
        <v>0</v>
      </c>
      <c r="AX108" s="11">
        <v>1.2</v>
      </c>
      <c r="AY108" s="5">
        <f>IF(AX108&lt;0.149*M108+0.329,1,AX108/(0.149*M108+0.329))</f>
        <v>1</v>
      </c>
      <c r="AZ108" s="5">
        <f>IF(AW108*AY108&gt;AL108,(AW108*AY108-AL108)/4,0)</f>
        <v>0</v>
      </c>
      <c r="BA108" s="12">
        <f>0.401+0.1831*(2*AR108^2/(AH108+AP108+AZ108))-0.02016*(2*AR108^2/(AH108+AP108+AZ108))^2+0.0007472*(2*AR108^2/(AH108+AP108+AZ108))^3</f>
        <v>0.9460953426076595</v>
      </c>
      <c r="BB108" s="3"/>
      <c r="BC108" s="3"/>
      <c r="BD108" s="3"/>
      <c r="BE108" s="3"/>
      <c r="BF108" s="33">
        <v>65</v>
      </c>
      <c r="BG108" s="5">
        <f>IF(BF108=0,(BC108+BD108)*(BB108/12+BE108/3),BF108)</f>
        <v>65</v>
      </c>
      <c r="BH108" s="5">
        <f>IF(BG108*AY108&gt;AL108+AZ108,BG108*AY108-AL108-AZ108,0)</f>
        <v>50</v>
      </c>
      <c r="BI108" s="5">
        <f>IF(M108/1.6&lt;8,ROUND(M108/1.6,0),8)</f>
        <v>5</v>
      </c>
      <c r="BJ108" s="5">
        <f>(AH108+AP108+AZ108)*BA108+0.1*BH108</f>
        <v>66.95978398737563</v>
      </c>
      <c r="BK108" s="11">
        <v>1.22</v>
      </c>
      <c r="BL108" s="5">
        <f>M108*0.2</f>
        <v>1.706</v>
      </c>
      <c r="BM108" s="5">
        <f>ROUNDDOWN(M108/2.13,0)</f>
        <v>4</v>
      </c>
      <c r="BN108" s="12">
        <f>M108/4.26</f>
        <v>2.002347417840376</v>
      </c>
      <c r="BO108" s="5">
        <f>IF(M108&lt;8,1.22,IF(M108&lt;15.2,0.108333*M108+0.353,2))</f>
        <v>1.27708049</v>
      </c>
      <c r="BP108" s="12">
        <f>IF(BK108&lt;BO108,1+0.3*(BO108-BK108)/M108,1)</f>
        <v>1.002007520164127</v>
      </c>
      <c r="BQ108" s="32"/>
      <c r="BR108" s="39">
        <v>0</v>
      </c>
      <c r="BS108" t="s" s="24">
        <v>154</v>
      </c>
      <c r="BT108" s="36"/>
      <c r="BU108" s="36"/>
      <c r="BV108" s="5">
        <f>IF(BQ108&lt;(M108/0.3048)^0.5,1,IF(BU108="x",1-BR108*0.02,IF(BT108="x",1-BR108*0.01,1)))</f>
        <v>1</v>
      </c>
      <c r="BW108" s="12">
        <f>IF(K108="x",MIN(1.315,1.28+U108*N108/BJ108/AR108/1100),IF(L108="x",1.28,MAX(1.245,1.28-U108*N108/BJ108/AR108/1100)))</f>
        <v>1.273185388924244</v>
      </c>
      <c r="BX108" s="41">
        <f>BW108*T108*BV108*BP108*N108^0.3*BJ108^0.4/V108^0.325</f>
        <v>1.388111278719719</v>
      </c>
      <c r="BY108" s="29"/>
      <c r="BZ108" s="29"/>
      <c r="CA108" t="s" s="19">
        <v>162</v>
      </c>
      <c r="CB108" s="42">
        <v>1997</v>
      </c>
      <c r="CC108" t="s" s="19">
        <v>254</v>
      </c>
      <c r="CD108" t="s" s="19">
        <v>340</v>
      </c>
      <c r="CE108" s="3"/>
      <c r="CF108" s="3"/>
      <c r="CG108" t="s" s="30">
        <f>A108</f>
        <v>811</v>
      </c>
    </row>
    <row r="109" ht="12.75" customHeight="1">
      <c r="A109" t="s" s="25">
        <v>812</v>
      </c>
      <c r="B109" t="s" s="19">
        <v>813</v>
      </c>
      <c r="C109" t="s" s="19">
        <v>361</v>
      </c>
      <c r="D109" t="s" s="19">
        <v>814</v>
      </c>
      <c r="E109" t="s" s="19">
        <v>815</v>
      </c>
      <c r="F109" t="s" s="19">
        <v>816</v>
      </c>
      <c r="G109" t="s" s="19">
        <v>817</v>
      </c>
      <c r="H109" s="32"/>
      <c r="I109" s="32"/>
      <c r="J109" s="36"/>
      <c r="K109" t="s" s="24">
        <v>154</v>
      </c>
      <c r="L109" s="36"/>
      <c r="M109" s="11">
        <v>12.2</v>
      </c>
      <c r="N109" s="5">
        <v>12</v>
      </c>
      <c r="O109" s="11">
        <v>10</v>
      </c>
      <c r="P109" s="11"/>
      <c r="Q109" s="37"/>
      <c r="R109" s="36"/>
      <c r="S109" t="s" s="24">
        <v>818</v>
      </c>
      <c r="T109" s="38">
        <f>IF(S109&gt;0,1.048,IF(R109&gt;0,1.048,IF(Q109&gt;0,1.036,0.907+1.55*(P109/N109)-4.449*(P109/N109)^2)))</f>
        <v>1.048</v>
      </c>
      <c r="U109" s="39">
        <v>2300</v>
      </c>
      <c r="V109" s="40">
        <f>IF(H109="x",75+U109,IF(M109&lt;6.66,150+U109,-1.7384*M109^2+92.38*M109-388+U109))</f>
        <v>2780.292544</v>
      </c>
      <c r="W109" s="5"/>
      <c r="X109" s="5"/>
      <c r="Y109" s="5"/>
      <c r="Z109" s="5"/>
      <c r="AA109" s="5"/>
      <c r="AB109" s="5"/>
      <c r="AC109" s="5">
        <v>15.7</v>
      </c>
      <c r="AD109" s="33">
        <v>55</v>
      </c>
      <c r="AE109" s="5">
        <f>IF(AD109=0,(W109+4*X109+2*Y109+4*Z109+AA109)*AC109/12+W109*AB109/1.5,AD109)</f>
        <v>55</v>
      </c>
      <c r="AF109" s="11">
        <v>17</v>
      </c>
      <c r="AG109" s="11"/>
      <c r="AH109" s="5">
        <f>IF(AC109=0,AE109+AF109*AG109/2,AE109+AC109*AG109/2)</f>
        <v>55</v>
      </c>
      <c r="AI109" s="5">
        <v>15.7</v>
      </c>
      <c r="AJ109" s="3"/>
      <c r="AK109" s="33">
        <v>50</v>
      </c>
      <c r="AL109" s="5">
        <f>IF(AK109=0,AI109*AJ109/2,AK109)</f>
        <v>50</v>
      </c>
      <c r="AM109" s="3"/>
      <c r="AN109" s="5"/>
      <c r="AO109" s="5">
        <v>0.3</v>
      </c>
      <c r="AP109" s="5">
        <f>AL109+AI109*(AN109-AO109)/2</f>
        <v>47.645</v>
      </c>
      <c r="AQ109" s="5">
        <f>0.1*(AE109+AL109)</f>
        <v>10.5</v>
      </c>
      <c r="AR109" s="11">
        <v>18</v>
      </c>
      <c r="AS109" s="11"/>
      <c r="AT109" s="11"/>
      <c r="AU109" s="11"/>
      <c r="AV109" s="33">
        <v>90</v>
      </c>
      <c r="AW109" s="5">
        <f>IF(AV109=0,AS109/6*(AT109+AU109*4),AV109)</f>
        <v>90</v>
      </c>
      <c r="AX109" s="11">
        <v>1.5</v>
      </c>
      <c r="AY109" s="5">
        <f>IF(AX109&lt;0.149*M109+0.329,1,AX109/(0.149*M109+0.329))</f>
        <v>1</v>
      </c>
      <c r="AZ109" s="5">
        <f>IF(AW109*AY109&gt;AL109,(AW109*AY109-AL109)/4,0)</f>
        <v>10</v>
      </c>
      <c r="BA109" s="12">
        <f>0.401+0.1831*(2*AR109^2/(AH109+AP109+AZ109))-0.02016*(2*AR109^2/(AH109+AP109+AZ109))^2+0.0007472*(2*AR109^2/(AH109+AP109+AZ109))^3</f>
        <v>0.9294002794707052</v>
      </c>
      <c r="BB109" s="3"/>
      <c r="BC109" s="3"/>
      <c r="BD109" s="3"/>
      <c r="BE109" s="3"/>
      <c r="BF109" s="33">
        <v>115</v>
      </c>
      <c r="BG109" s="5">
        <f>IF(BF109=0,(BC109+BD109)*(BB109/12+BE109/3),BF109)</f>
        <v>115</v>
      </c>
      <c r="BH109" s="5">
        <f>IF(BG109*AY109&gt;AL109+AZ109,BG109*AY109-AL109-AZ109,0)</f>
        <v>55</v>
      </c>
      <c r="BI109" s="5">
        <f>IF(M109/1.6&lt;8,ROUND(M109/1.6,0),8)</f>
        <v>8</v>
      </c>
      <c r="BJ109" s="5">
        <f>(AH109+AP109+AZ109)*BA109+0.1*BH109</f>
        <v>110.1922944809776</v>
      </c>
      <c r="BK109" s="11">
        <v>1.9</v>
      </c>
      <c r="BL109" s="5">
        <f>M109*0.2</f>
        <v>2.44</v>
      </c>
      <c r="BM109" s="5">
        <f>ROUNDDOWN(M109/2.13,0)</f>
        <v>5</v>
      </c>
      <c r="BN109" s="12">
        <f>M109/4.26</f>
        <v>2.863849765258216</v>
      </c>
      <c r="BO109" s="5">
        <f>IF(M109&lt;8,1.22,IF(M109&lt;15.2,0.108333*M109+0.353,2))</f>
        <v>1.6746626</v>
      </c>
      <c r="BP109" s="12">
        <f>IF(BK109&lt;BO109,1+0.3*(BO109-BK109)/M109,1)</f>
        <v>1</v>
      </c>
      <c r="BQ109" s="39">
        <v>8</v>
      </c>
      <c r="BR109" s="39">
        <v>1</v>
      </c>
      <c r="BS109" s="36"/>
      <c r="BT109" t="s" s="24">
        <v>154</v>
      </c>
      <c r="BU109" s="36"/>
      <c r="BV109" s="5">
        <f>IF(BQ109&lt;(M109/0.3048)^0.5,1,IF(BU109="x",1-BR109*0.02,IF(BT109="x",1-BR109*0.01,1)))</f>
        <v>0.99</v>
      </c>
      <c r="BW109" s="12">
        <f>IF(K109="x",MIN(1.315,1.28+U109*N109/BJ109/AR109/1100),IF(L109="x",1.28,MAX(1.245,1.28-U109*N109/BJ109/AR109/1100)))</f>
        <v>1.292650062334259</v>
      </c>
      <c r="BX109" s="41">
        <f>BW109*T109*BV109*BP109*N109^0.3*BJ109^0.4/V109^0.325</f>
        <v>1.408519624101633</v>
      </c>
      <c r="BY109" s="29"/>
      <c r="BZ109" s="29"/>
      <c r="CA109" t="s" s="19">
        <v>188</v>
      </c>
      <c r="CB109" t="s" s="19">
        <v>189</v>
      </c>
      <c r="CC109" s="3"/>
      <c r="CD109" s="3"/>
      <c r="CE109" s="3"/>
      <c r="CF109" s="3"/>
      <c r="CG109" t="s" s="30">
        <f>A109</f>
        <v>819</v>
      </c>
    </row>
    <row r="110" ht="12.75" customHeight="1">
      <c r="A110" t="s" s="25">
        <v>820</v>
      </c>
      <c r="B110" t="s" s="19">
        <v>820</v>
      </c>
      <c r="C110" t="s" s="19">
        <v>821</v>
      </c>
      <c r="D110" t="s" s="19">
        <v>822</v>
      </c>
      <c r="E110" t="s" s="19">
        <v>823</v>
      </c>
      <c r="F110" s="3"/>
      <c r="G110" t="s" s="19">
        <v>824</v>
      </c>
      <c r="H110" s="32"/>
      <c r="I110" s="32"/>
      <c r="J110" t="s" s="24">
        <v>154</v>
      </c>
      <c r="K110" s="36"/>
      <c r="L110" s="36"/>
      <c r="M110" s="11">
        <v>8</v>
      </c>
      <c r="N110" s="5">
        <v>7.8</v>
      </c>
      <c r="O110" s="11"/>
      <c r="P110" s="11"/>
      <c r="Q110" s="37"/>
      <c r="R110" t="s" s="24">
        <v>161</v>
      </c>
      <c r="S110" s="36"/>
      <c r="T110" s="38">
        <f>IF(S110&gt;0,1.048,IF(R110&gt;0,1.048,IF(Q110&gt;0,1.036,0.907+1.55*(P110/N110)-4.449*(P110/N110)^2)))</f>
        <v>1.048</v>
      </c>
      <c r="U110" s="39">
        <v>710</v>
      </c>
      <c r="V110" s="40">
        <f>IF(H110="x",75+U110,IF(M110&lt;6.66,150+U110,-1.7384*M110^2+92.38*M110-388+U110))</f>
        <v>949.7823999999999</v>
      </c>
      <c r="W110" s="5">
        <v>3</v>
      </c>
      <c r="X110" s="5">
        <v>2.89</v>
      </c>
      <c r="Y110" s="5">
        <v>2.6</v>
      </c>
      <c r="Z110" s="5">
        <v>2.05</v>
      </c>
      <c r="AA110" s="5">
        <v>0.6</v>
      </c>
      <c r="AB110" s="5">
        <v>0.09</v>
      </c>
      <c r="AC110" s="5">
        <v>10.95</v>
      </c>
      <c r="AD110" s="33"/>
      <c r="AE110" s="5">
        <f>IF(AD110=0,(W110+4*X110+2*Y110+4*Z110+AA110)*AC110/12+W110*AB110/1.5,AD110)</f>
        <v>26.241</v>
      </c>
      <c r="AF110" s="11">
        <v>11.8</v>
      </c>
      <c r="AG110" s="11">
        <v>0.49</v>
      </c>
      <c r="AH110" s="5">
        <f>IF(AC110=0,AE110+AF110*AG110/2,AE110+AC110*AG110/2)</f>
        <v>28.92375</v>
      </c>
      <c r="AI110" s="5">
        <v>7.87</v>
      </c>
      <c r="AJ110" s="5">
        <v>1.84</v>
      </c>
      <c r="AK110" s="33"/>
      <c r="AL110" s="5">
        <f>IF(AK110=0,AI110*AJ110/2,AK110)</f>
        <v>7.2404</v>
      </c>
      <c r="AM110" s="3"/>
      <c r="AN110" s="5"/>
      <c r="AO110" s="5"/>
      <c r="AP110" s="5">
        <f>AL110+AI110*(AN110-AO110)/2</f>
        <v>7.2404</v>
      </c>
      <c r="AQ110" s="5">
        <f>0.1*(AE110+AL110)</f>
        <v>3.34814</v>
      </c>
      <c r="AR110" s="11">
        <v>11.8</v>
      </c>
      <c r="AS110" s="11"/>
      <c r="AT110" s="11"/>
      <c r="AU110" s="11"/>
      <c r="AV110" s="33"/>
      <c r="AW110" s="5">
        <f>IF(AV110=0,AS110/6*(AT110+AU110*4),AV110)</f>
        <v>0</v>
      </c>
      <c r="AX110" s="11">
        <v>1</v>
      </c>
      <c r="AY110" s="5">
        <f>IF(AX110&lt;0.149*M110+0.329,1,AX110/(0.149*M110+0.329))</f>
        <v>1</v>
      </c>
      <c r="AZ110" s="5">
        <f>IF(AW110*AY110&gt;AL110,(AW110*AY110-AL110)/4,0)</f>
        <v>0</v>
      </c>
      <c r="BA110" s="12">
        <f>0.401+0.1831*(2*AR110^2/(AH110+AP110+AZ110))-0.02016*(2*AR110^2/(AH110+AP110+AZ110))^2+0.0007472*(2*AR110^2/(AH110+AP110+AZ110))^3</f>
        <v>0.9567075151748432</v>
      </c>
      <c r="BB110" s="5">
        <v>5.56</v>
      </c>
      <c r="BC110" s="5">
        <v>11.56</v>
      </c>
      <c r="BD110" s="5">
        <v>10.2</v>
      </c>
      <c r="BE110" s="5">
        <v>4.74</v>
      </c>
      <c r="BF110" s="33"/>
      <c r="BG110" s="5">
        <f>IF(BF110=0,(BC110+BD110)*(BB110/12+BE110/3),BF110)</f>
        <v>44.46293333333333</v>
      </c>
      <c r="BH110" s="5">
        <f>IF(BG110*AY110&gt;AL110+AZ110,BG110*AY110-AL110-AZ110,0)</f>
        <v>37.22253333333333</v>
      </c>
      <c r="BI110" s="5">
        <f>IF(M110/1.6&lt;8,ROUND(M110/1.6,0),8)</f>
        <v>5</v>
      </c>
      <c r="BJ110" s="5">
        <f>(AH110+AP110+AZ110)*BA110+0.1*BH110</f>
        <v>38.32076741824364</v>
      </c>
      <c r="BK110" s="11">
        <v>1.1</v>
      </c>
      <c r="BL110" s="5">
        <f>M110*0.2</f>
        <v>1.6</v>
      </c>
      <c r="BM110" s="5">
        <f>ROUNDDOWN(M110/2.13,0)</f>
        <v>3</v>
      </c>
      <c r="BN110" s="12">
        <f>M110/4.26</f>
        <v>1.877934272300469</v>
      </c>
      <c r="BO110" s="5">
        <f>IF(M110&lt;8,1.22,IF(M110&lt;15.2,0.108333*M110+0.353,2))</f>
        <v>1.219664</v>
      </c>
      <c r="BP110" s="12">
        <f>IF(BK110&lt;BO110,1+0.3*(BO110-BK110)/M110,1)</f>
        <v>1.0044874</v>
      </c>
      <c r="BQ110" s="32"/>
      <c r="BR110" s="39">
        <v>0</v>
      </c>
      <c r="BS110" t="s" s="24">
        <v>154</v>
      </c>
      <c r="BT110" s="36"/>
      <c r="BU110" s="36"/>
      <c r="BV110" s="5">
        <f>IF(BQ110&lt;(M110/0.3048)^0.5,1,IF(BU110="x",1-BR110*0.02,IF(BT110="x",1-BR110*0.01,1)))</f>
        <v>1</v>
      </c>
      <c r="BW110" s="12">
        <f>IF(K110="x",MIN(1.315,1.28+U110*N110/BJ110/AR110/1100),IF(L110="x",1.28,MAX(1.245,1.28-U110*N110/BJ110/AR110/1100)))</f>
        <v>1.268866183450964</v>
      </c>
      <c r="BX110" s="41">
        <f>BW110*T110*BV110*BP110*N110^0.3*BJ110^0.4/V110^0.325</f>
        <v>1.145501918649496</v>
      </c>
      <c r="BY110" s="29"/>
      <c r="BZ110" s="29"/>
      <c r="CA110" t="s" s="19">
        <v>509</v>
      </c>
      <c r="CB110" t="s" s="19">
        <v>510</v>
      </c>
      <c r="CC110" t="s" s="19">
        <v>254</v>
      </c>
      <c r="CD110" t="s" s="19">
        <v>483</v>
      </c>
      <c r="CE110" s="3"/>
      <c r="CF110" s="3"/>
      <c r="CG110" t="s" s="30">
        <f>A110</f>
        <v>825</v>
      </c>
    </row>
    <row r="111" ht="12.75" customHeight="1">
      <c r="A111" t="s" s="25">
        <v>826</v>
      </c>
      <c r="B111" t="s" s="54">
        <v>827</v>
      </c>
      <c r="C111" t="s" s="54">
        <v>828</v>
      </c>
      <c r="D111" t="s" s="54">
        <v>828</v>
      </c>
      <c r="E111" t="s" s="54">
        <v>829</v>
      </c>
      <c r="F111" s="55"/>
      <c r="G111" t="s" s="54">
        <v>830</v>
      </c>
      <c r="H111" s="56"/>
      <c r="I111" s="56"/>
      <c r="J111" s="57"/>
      <c r="K111" t="s" s="58">
        <v>154</v>
      </c>
      <c r="L111" s="57"/>
      <c r="M111" s="59">
        <v>9.449999999999999</v>
      </c>
      <c r="N111" s="60">
        <v>9.16</v>
      </c>
      <c r="O111" s="59">
        <v>6.15</v>
      </c>
      <c r="P111" s="59"/>
      <c r="Q111" t="s" s="58">
        <v>154</v>
      </c>
      <c r="R111" s="57"/>
      <c r="S111" s="57"/>
      <c r="T111" s="63">
        <f>IF(S111&gt;0,1.048,IF(R111&gt;0,1.048,IF(Q111&gt;0,1.036,0.907+1.55*(P111/N111)-4.449*(P111/N111)^2)))</f>
        <v>1.036</v>
      </c>
      <c r="U111" s="62">
        <v>1659</v>
      </c>
      <c r="V111" s="64">
        <f>IF(H111="x",75+U111,IF(M111&lt;6.66,150+U111,-1.7384*M111^2+92.38*M111-388+U111))</f>
        <v>1988.747534</v>
      </c>
      <c r="W111" s="60">
        <v>2.96</v>
      </c>
      <c r="X111" s="60">
        <v>2.85</v>
      </c>
      <c r="Y111" s="60">
        <v>2.64</v>
      </c>
      <c r="Z111" s="60">
        <v>2.23</v>
      </c>
      <c r="AA111" s="60">
        <v>0.62</v>
      </c>
      <c r="AB111" s="60">
        <v>0.075</v>
      </c>
      <c r="AC111" s="60">
        <v>10</v>
      </c>
      <c r="AD111" s="65"/>
      <c r="AE111" s="60">
        <f>IF(AD111=0,(W111+4*X111+2*Y111+4*Z111+AA111)*AC111/12+W111*AB111/1.5,AD111)</f>
        <v>24.46466666666667</v>
      </c>
      <c r="AF111" s="59"/>
      <c r="AG111" s="59">
        <v>0</v>
      </c>
      <c r="AH111" s="60">
        <f>IF(AC111=0,AE111+AF111*AG111/2,AE111+AC111*AG111/2)</f>
        <v>24.46466666666667</v>
      </c>
      <c r="AI111" s="60">
        <v>10</v>
      </c>
      <c r="AJ111" s="60">
        <v>3.5</v>
      </c>
      <c r="AK111" s="65"/>
      <c r="AL111" s="60">
        <f>IF(AK111=0,AI111*AJ111/2,AK111)</f>
        <v>17.5</v>
      </c>
      <c r="AM111" t="s" s="54">
        <v>154</v>
      </c>
      <c r="AN111" s="60"/>
      <c r="AO111" s="60"/>
      <c r="AP111" s="60">
        <f>AL111+AI111*(AN111-AO111)/2</f>
        <v>17.5</v>
      </c>
      <c r="AQ111" s="60">
        <f>0.1*(AE111+AL111)</f>
        <v>4.196466666666667</v>
      </c>
      <c r="AR111" s="59">
        <v>11.1</v>
      </c>
      <c r="AS111" s="59"/>
      <c r="AT111" s="59"/>
      <c r="AU111" s="59"/>
      <c r="AV111" s="65"/>
      <c r="AW111" s="5">
        <f>IF(AV111=0,AS111/6*(AT111+AU111*4),AV111)</f>
        <v>0</v>
      </c>
      <c r="AX111" s="59">
        <v>1</v>
      </c>
      <c r="AY111" s="60">
        <f>IF(AX111&lt;0.149*M111+0.329,1,AX111/(0.149*M111+0.329))</f>
        <v>1</v>
      </c>
      <c r="AZ111" s="5">
        <f>IF(AW111*AY111&gt;AL111,(AW111*AY111-AL111)/4,0)</f>
        <v>0</v>
      </c>
      <c r="BA111" s="66">
        <f>0.401+0.1831*(2*AR111^2/(AH111+AP111+AZ111))-0.02016*(2*AR111^2/(AH111+AP111+AZ111))^2+0.0007472*(2*AR111^2/(AH111+AP111+AZ111))^3</f>
        <v>0.9323253152089754</v>
      </c>
      <c r="BB111" s="5">
        <v>6.29</v>
      </c>
      <c r="BC111" s="5">
        <v>10</v>
      </c>
      <c r="BD111" s="5">
        <v>9.140000000000001</v>
      </c>
      <c r="BE111" s="5">
        <v>5.56</v>
      </c>
      <c r="BF111" s="65"/>
      <c r="BG111" s="60">
        <f>IF(BF111=0,(BC111+BD111)*(BB111/12+BE111/3),BF111)</f>
        <v>45.50535</v>
      </c>
      <c r="BH111" s="60">
        <f>IF(BG111*AY111&gt;AL111+AZ111,BG111*AY111-AL111-AZ111,0)</f>
        <v>28.00535</v>
      </c>
      <c r="BI111" s="60">
        <f>IF(M111/1.6&lt;8,ROUND(M111/1.6,0),8)</f>
        <v>6</v>
      </c>
      <c r="BJ111" s="60">
        <f>(AH111+AP111+AZ111)*BA111+0.1*BH111</f>
        <v>41.92525607763959</v>
      </c>
      <c r="BK111" s="59">
        <v>1.62</v>
      </c>
      <c r="BL111" s="60">
        <f>M111*0.2</f>
        <v>1.89</v>
      </c>
      <c r="BM111" s="60">
        <f>ROUNDDOWN(M111/2.13,0)</f>
        <v>4</v>
      </c>
      <c r="BN111" s="66">
        <f>M111/4.26</f>
        <v>2.21830985915493</v>
      </c>
      <c r="BO111" s="60">
        <f>IF(M111&lt;8,1.22,IF(M111&lt;15.2,0.108333*M111+0.353,2))</f>
        <v>1.37674685</v>
      </c>
      <c r="BP111" s="66">
        <f>IF(BK111&lt;BO111,1+0.3*(BO111-BK111)/M111,1)</f>
        <v>1</v>
      </c>
      <c r="BQ111" s="56"/>
      <c r="BR111" s="56"/>
      <c r="BS111" t="s" s="58">
        <v>154</v>
      </c>
      <c r="BT111" s="57"/>
      <c r="BU111" s="57"/>
      <c r="BV111" s="60">
        <f>IF(BQ111&lt;(M111/0.3048)^0.5,1,IF(BU111="x",1-BR111*0.02,IF(BT111="x",1-BR111*0.01,1)))</f>
        <v>1</v>
      </c>
      <c r="BW111" s="66">
        <f>IF(K111="x",MIN(1.315,1.28+U111*N111/BJ111/AR111/1100),IF(L111="x",1.28,MAX(1.245,1.28-U111*N111/BJ111/AR111/1100)))</f>
        <v>1.30968591720191</v>
      </c>
      <c r="BX111" s="67">
        <f>BW111*T111*BV111*BP111*N111^0.3*BJ111^0.4/V111^0.325</f>
        <v>0.9955141953392282</v>
      </c>
      <c r="BY111" s="3"/>
      <c r="BZ111" s="3"/>
      <c r="CA111" t="s" s="19">
        <v>253</v>
      </c>
      <c r="CB111" s="46">
        <v>37377</v>
      </c>
      <c r="CC111" t="s" s="19">
        <v>254</v>
      </c>
      <c r="CD111" s="3"/>
      <c r="CE111" s="3"/>
      <c r="CF111" s="3"/>
      <c r="CG111" t="s" s="30">
        <f>A111</f>
        <v>831</v>
      </c>
    </row>
    <row r="112" ht="12.75" customHeight="1">
      <c r="A112" t="s" s="25">
        <v>832</v>
      </c>
      <c r="B112" t="s" s="19">
        <v>833</v>
      </c>
      <c r="C112" t="s" s="19">
        <v>158</v>
      </c>
      <c r="D112" t="s" s="19">
        <v>159</v>
      </c>
      <c r="E112" t="s" s="19">
        <v>834</v>
      </c>
      <c r="F112" t="s" s="19">
        <v>835</v>
      </c>
      <c r="G112" t="s" s="19">
        <v>836</v>
      </c>
      <c r="H112" s="32"/>
      <c r="I112" s="32"/>
      <c r="J112" t="s" s="24">
        <v>154</v>
      </c>
      <c r="K112" s="36"/>
      <c r="L112" s="36"/>
      <c r="M112" s="11">
        <v>13.71</v>
      </c>
      <c r="N112" s="5">
        <v>13.71</v>
      </c>
      <c r="O112" s="11">
        <v>7</v>
      </c>
      <c r="P112" s="11"/>
      <c r="Q112" s="37"/>
      <c r="R112" t="s" s="24">
        <v>837</v>
      </c>
      <c r="S112" s="36"/>
      <c r="T112" s="38">
        <f>IF(S112&gt;0,1.048,IF(R112&gt;0,1.048,IF(Q112&gt;0,1.036,0.907+1.55*(P112/N112)-4.449*(P112/N112)^2)))</f>
        <v>1.048</v>
      </c>
      <c r="U112" s="39">
        <v>10300</v>
      </c>
      <c r="V112" s="40">
        <f>IF(H112="x",75+U112,IF(M112&lt;6.66,150+U112,-1.7384*M112^2+92.38*M112-388+U112))</f>
        <v>10851.77300856</v>
      </c>
      <c r="W112" s="5"/>
      <c r="X112" s="5"/>
      <c r="Y112" s="5"/>
      <c r="Z112" s="5"/>
      <c r="AA112" s="5"/>
      <c r="AB112" s="5"/>
      <c r="AC112" s="5"/>
      <c r="AD112" s="33">
        <v>73</v>
      </c>
      <c r="AE112" s="5">
        <f>IF(AD112=0,(W112+4*X112+2*Y112+4*Z112+AA112)*AC112/12+W112*AB112/1.5,AD112)</f>
        <v>73</v>
      </c>
      <c r="AF112" s="11">
        <v>18.5</v>
      </c>
      <c r="AG112" s="11"/>
      <c r="AH112" s="5">
        <f>IF(AC112=0,AE112+AF112*AG112/2,AE112+AC112*AG112/2)</f>
        <v>73</v>
      </c>
      <c r="AI112" s="3"/>
      <c r="AJ112" s="3"/>
      <c r="AK112" s="33">
        <v>33</v>
      </c>
      <c r="AL112" s="5">
        <f>IF(AK112=0,AI112*AJ112/2,AK112)</f>
        <v>33</v>
      </c>
      <c r="AM112" s="3"/>
      <c r="AN112" s="5"/>
      <c r="AO112" s="5"/>
      <c r="AP112" s="5">
        <f>AL112+AI112*(AN112-AO112)/2</f>
        <v>33</v>
      </c>
      <c r="AQ112" s="5">
        <f>0.1*(AE112+AL112)</f>
        <v>10.6</v>
      </c>
      <c r="AR112" s="11">
        <v>21</v>
      </c>
      <c r="AS112" s="11"/>
      <c r="AT112" s="11"/>
      <c r="AU112" s="11"/>
      <c r="AV112" s="33">
        <v>92</v>
      </c>
      <c r="AW112" s="5">
        <f>IF(AV112=0,AS112/6*(AT112+AU112*4),AV112)</f>
        <v>92</v>
      </c>
      <c r="AX112" s="11">
        <v>0.4</v>
      </c>
      <c r="AY112" s="5">
        <f>IF(AX112&lt;0.149*M112+0.329,1,AX112/(0.149*M112+0.329))</f>
        <v>1</v>
      </c>
      <c r="AZ112" s="5">
        <f>IF(AW112*AY112&gt;AL112,(AW112*AY112-AL112)/4,0)</f>
        <v>14.75</v>
      </c>
      <c r="BA112" s="12">
        <f>0.401+0.1831*(2*AR112^2/(AH112+AP112+AZ112))-0.02016*(2*AR112^2/(AH112+AP112+AZ112))^2+0.0007472*(2*AR112^2/(AH112+AP112+AZ112))^3</f>
        <v>0.9540127648886334</v>
      </c>
      <c r="BB112" s="3"/>
      <c r="BC112" s="3"/>
      <c r="BD112" s="3"/>
      <c r="BE112" s="3"/>
      <c r="BF112" s="33">
        <v>130</v>
      </c>
      <c r="BG112" s="5">
        <f>IF(BF112=0,(BC112+BD112)*(BB112/12+BE112/3),BF112)</f>
        <v>130</v>
      </c>
      <c r="BH112" s="5">
        <f>IF(BG112*AY112&gt;AL112+AZ112,BG112*AY112-AL112-AZ112,0)</f>
        <v>82.25</v>
      </c>
      <c r="BI112" s="69">
        <f>IF(M112/1.6&lt;8,ROUND(M112/1.6,0),8)</f>
        <v>8</v>
      </c>
      <c r="BJ112" s="5">
        <f>(AH112+AP112+AZ112)*BA112+0.1*BH112</f>
        <v>123.4220413603025</v>
      </c>
      <c r="BK112" s="11">
        <v>1.95</v>
      </c>
      <c r="BL112" s="60">
        <f>M112*0.2</f>
        <v>2.742</v>
      </c>
      <c r="BM112" s="60">
        <f>ROUNDDOWN(M112/2.13,0)</f>
        <v>6</v>
      </c>
      <c r="BN112" s="66">
        <f>M112/4.26</f>
        <v>3.21830985915493</v>
      </c>
      <c r="BO112" s="60">
        <f>IF(M112&lt;8,1.22,IF(M112&lt;15.2,0.108333*M112+0.353,2))</f>
        <v>1.83824543</v>
      </c>
      <c r="BP112" s="12">
        <f>IF(BK112&lt;BO112,1+0.3*(BO112-BK112)/M112,1)</f>
        <v>1</v>
      </c>
      <c r="BQ112" s="39">
        <v>8</v>
      </c>
      <c r="BR112" s="39">
        <v>2</v>
      </c>
      <c r="BS112" s="36"/>
      <c r="BT112" t="s" s="24">
        <v>154</v>
      </c>
      <c r="BU112" s="36"/>
      <c r="BV112" s="5">
        <f>IF(BQ112&lt;(M112/0.3048)^0.5,1,IF(BU112="x",1-BR112*0.02,IF(BT112="x",1-BR112*0.01,1)))</f>
        <v>0.98</v>
      </c>
      <c r="BW112" s="12">
        <f>IF(K112="x",MIN(1.315,1.28+U112*N112/BJ112/AR112/1100),IF(L112="x",1.28,MAX(1.245,1.28-U112*N112/BJ112/AR112/1100)))</f>
        <v>1.245</v>
      </c>
      <c r="BX112" s="41">
        <f>BW112*T112*BV112*BP112*N112^0.3*BJ112^0.4/V112^0.325</f>
        <v>0.9394795011819415</v>
      </c>
      <c r="BY112" s="29"/>
      <c r="BZ112" s="29"/>
      <c r="CA112" t="s" s="19">
        <v>188</v>
      </c>
      <c r="CB112" t="s" s="19">
        <v>838</v>
      </c>
      <c r="CC112" t="s" s="19">
        <v>180</v>
      </c>
      <c r="CD112" t="s" s="19">
        <v>660</v>
      </c>
      <c r="CE112" s="3"/>
      <c r="CF112" s="3"/>
      <c r="CG112" t="s" s="30">
        <f>A112</f>
        <v>839</v>
      </c>
    </row>
    <row r="113" ht="12.75" customHeight="1">
      <c r="A113" t="s" s="25">
        <v>840</v>
      </c>
      <c r="B113" t="s" s="19">
        <v>841</v>
      </c>
      <c r="C113" t="s" s="19">
        <v>258</v>
      </c>
      <c r="D113" t="s" s="19">
        <v>169</v>
      </c>
      <c r="E113" t="s" s="19">
        <v>842</v>
      </c>
      <c r="F113" s="3"/>
      <c r="G113" s="3"/>
      <c r="H113" s="32"/>
      <c r="I113" s="32"/>
      <c r="J113" t="s" s="24">
        <v>154</v>
      </c>
      <c r="K113" s="36"/>
      <c r="L113" s="36"/>
      <c r="M113" s="11">
        <v>12.98</v>
      </c>
      <c r="N113" s="5">
        <v>12.68</v>
      </c>
      <c r="O113" s="11"/>
      <c r="P113" s="11">
        <v>0.9</v>
      </c>
      <c r="Q113" s="37"/>
      <c r="R113" s="36"/>
      <c r="S113" s="36"/>
      <c r="T113" s="38">
        <f>IF(S113&gt;0,1.048,IF(R113&gt;0,1.048,IF(Q113&gt;0,1.036,0.907+1.55*(P113/N113)-4.449*(P113/N113)^2)))</f>
        <v>0.9946023121933745</v>
      </c>
      <c r="U113" s="39">
        <v>6700</v>
      </c>
      <c r="V113" s="40">
        <f>IF(H113="x",75+U113,IF(M113&lt;6.66,150+U113,-1.7384*M113^2+92.38*M113-388+U113))</f>
        <v>7218.20607264</v>
      </c>
      <c r="W113" s="5">
        <v>5.3</v>
      </c>
      <c r="X113" s="5"/>
      <c r="Y113" s="5"/>
      <c r="Z113" s="5"/>
      <c r="AA113" s="5"/>
      <c r="AB113" s="5"/>
      <c r="AC113" s="5">
        <v>16.2</v>
      </c>
      <c r="AD113" s="33">
        <v>56</v>
      </c>
      <c r="AE113" s="5">
        <f>IF(AD113=0,(W113+4*X113+2*Y113+4*Z113+AA113)*AC113/12+W113*AB113/1.5,AD113)</f>
        <v>56</v>
      </c>
      <c r="AF113" s="11">
        <v>17.5</v>
      </c>
      <c r="AG113" s="11"/>
      <c r="AH113" s="5">
        <f>IF(AC113=0,AE113+AF113*AG113/2,AE113+AC113*AG113/2)</f>
        <v>56</v>
      </c>
      <c r="AI113" s="5">
        <v>14.5</v>
      </c>
      <c r="AJ113" s="5">
        <v>6.4</v>
      </c>
      <c r="AK113" s="33"/>
      <c r="AL113" s="5">
        <f>IF(AK113=0,AI113*AJ113/2,AK113)</f>
        <v>46.40000000000001</v>
      </c>
      <c r="AM113" s="3"/>
      <c r="AN113" s="5"/>
      <c r="AO113" s="5">
        <f>0.042*PI()</f>
        <v>0.1319468914507713</v>
      </c>
      <c r="AP113" s="5">
        <f>AL113+AI113*(AN113-AO113)/2</f>
        <v>45.44338503698192</v>
      </c>
      <c r="AQ113" s="5">
        <f>0.1*(AE113+AL113)</f>
        <v>10.24</v>
      </c>
      <c r="AR113" s="11">
        <v>17.7</v>
      </c>
      <c r="AS113" s="11"/>
      <c r="AT113" s="11"/>
      <c r="AU113" s="11"/>
      <c r="AV113" s="33"/>
      <c r="AW113" s="5">
        <f>IF(AV113=0,AS113/6*(AT113+AU113*4),AV113)</f>
        <v>0</v>
      </c>
      <c r="AX113" s="11">
        <v>0</v>
      </c>
      <c r="AY113" s="5">
        <f>IF(AX113&lt;0.149*M113+0.329,1,AX113/(0.149*M113+0.329))</f>
        <v>1</v>
      </c>
      <c r="AZ113" s="5">
        <f>IF(AW113*AY113&gt;AL113,(AW113*AY113-AL113)/4,0)</f>
        <v>0</v>
      </c>
      <c r="BA113" s="12">
        <f>0.401+0.1831*(2*AR113^2/(AH113+AP113+AZ113))-0.02016*(2*AR113^2/(AH113+AP113+AZ113))^2+0.0007472*(2*AR113^2/(AH113+AP113+AZ113))^3</f>
        <v>0.9388945425387263</v>
      </c>
      <c r="BB113" s="3"/>
      <c r="BC113" s="3"/>
      <c r="BD113" s="3"/>
      <c r="BE113" s="3"/>
      <c r="BF113" s="33">
        <v>107</v>
      </c>
      <c r="BG113" s="5">
        <f>IF(BF113=0,(BC113+BD113)*(BB113/12+BE113/3),BF113)</f>
        <v>107</v>
      </c>
      <c r="BH113" s="5">
        <f>IF(BG113*AY113&gt;AL113+AZ113,BG113*AY113-AL113-AZ113,0)</f>
        <v>60.59999999999999</v>
      </c>
      <c r="BI113" s="42">
        <f>IF(M113/1.6&lt;8,ROUND(M113/1.6,0),8)</f>
        <v>8</v>
      </c>
      <c r="BJ113" s="5">
        <f>(AH113+AP113+AZ113)*BA113+0.1*BH113</f>
        <v>101.304640587877</v>
      </c>
      <c r="BK113" s="11">
        <v>1.92</v>
      </c>
      <c r="BL113" s="5">
        <f>M113*0.2</f>
        <v>2.596</v>
      </c>
      <c r="BM113" s="5">
        <f>ROUNDDOWN(M113/2.13,0)</f>
        <v>6</v>
      </c>
      <c r="BN113" s="12">
        <f>M113/4.26</f>
        <v>3.046948356807512</v>
      </c>
      <c r="BO113" s="5">
        <f>IF(M113&lt;8,1.22,IF(M113&lt;15.2,0.108333*M113+0.353,2))</f>
        <v>1.75916234</v>
      </c>
      <c r="BP113" s="12">
        <f>IF(BK113&lt;BO113,1+0.3*(BO113-BK113)/M113,1)</f>
        <v>1</v>
      </c>
      <c r="BQ113" s="39">
        <v>8</v>
      </c>
      <c r="BR113" s="39">
        <v>2</v>
      </c>
      <c r="BS113" s="36"/>
      <c r="BT113" t="s" s="24">
        <v>154</v>
      </c>
      <c r="BU113" s="36"/>
      <c r="BV113" s="5">
        <f>IF(BQ113&lt;(M113/0.3048)^0.5,1,IF(BU113="x",1-BR113*0.02,IF(BT113="x",1-BR113*0.01,1)))</f>
        <v>0.98</v>
      </c>
      <c r="BW113" s="12">
        <f>IF(K113="x",MIN(1.315,1.28+U113*N113/BJ113/AR113/1100),IF(L113="x",1.28,MAX(1.245,1.28-U113*N113/BJ113/AR113/1100)))</f>
        <v>1.245</v>
      </c>
      <c r="BX113" s="41">
        <f>BW113*T113*BV113*BP113*N113^0.3*BJ113^0.4/V113^0.325</f>
        <v>0.9188463380717106</v>
      </c>
      <c r="BY113" s="29"/>
      <c r="BZ113" s="29"/>
      <c r="CA113" t="s" s="19">
        <v>213</v>
      </c>
      <c r="CB113" t="s" s="19">
        <v>769</v>
      </c>
      <c r="CC113" t="s" s="19">
        <v>180</v>
      </c>
      <c r="CD113" s="3"/>
      <c r="CE113" s="3"/>
      <c r="CF113" s="3"/>
      <c r="CG113" t="s" s="30">
        <f>A113</f>
        <v>843</v>
      </c>
    </row>
    <row r="114" ht="12.75" customHeight="1">
      <c r="A114" t="s" s="25">
        <v>844</v>
      </c>
      <c r="B114" t="s" s="19">
        <v>845</v>
      </c>
      <c r="C114" t="s" s="19">
        <v>213</v>
      </c>
      <c r="D114" t="s" s="19">
        <v>682</v>
      </c>
      <c r="E114" t="s" s="19">
        <v>846</v>
      </c>
      <c r="F114" s="3"/>
      <c r="G114" s="3"/>
      <c r="H114" s="32"/>
      <c r="I114" s="32"/>
      <c r="J114" t="s" s="24">
        <v>154</v>
      </c>
      <c r="K114" s="36"/>
      <c r="L114" s="36"/>
      <c r="M114" s="11">
        <v>15.24</v>
      </c>
      <c r="N114" s="5">
        <v>15.24</v>
      </c>
      <c r="O114" s="11">
        <v>7.8</v>
      </c>
      <c r="P114" s="11"/>
      <c r="Q114" s="37"/>
      <c r="R114" t="s" s="24">
        <v>847</v>
      </c>
      <c r="S114" s="36"/>
      <c r="T114" s="38">
        <f>IF(S114&gt;0,1.048,IF(R114&gt;0,1.048,IF(Q114&gt;0,1.036,0.907+1.55*(P114/N114)-4.449*(P114/N114)^2)))</f>
        <v>1.048</v>
      </c>
      <c r="U114" s="39">
        <v>7500</v>
      </c>
      <c r="V114" s="40">
        <f>IF(H114="x",75+U114,IF(M114&lt;6.66,150+U114,-1.7384*M114^2+92.38*M114-388+U114))</f>
        <v>8116.11458816</v>
      </c>
      <c r="W114" s="5"/>
      <c r="X114" s="5"/>
      <c r="Y114" s="5"/>
      <c r="Z114" s="5"/>
      <c r="AA114" s="5"/>
      <c r="AB114" s="5"/>
      <c r="AC114" s="5">
        <v>19.4</v>
      </c>
      <c r="AD114" s="33">
        <v>86</v>
      </c>
      <c r="AE114" s="5">
        <f>IF(AD114=0,(W114+4*X114+2*Y114+4*Z114+AA114)*AC114/12+W114*AB114/1.5,AD114)</f>
        <v>86</v>
      </c>
      <c r="AF114" s="11">
        <v>19.8</v>
      </c>
      <c r="AG114" s="11">
        <v>0.9</v>
      </c>
      <c r="AH114" s="5">
        <f>IF(AC114=0,AE114+AF114*AG114/2,AE114+AC114*AG114/2)</f>
        <v>94.73</v>
      </c>
      <c r="AI114" s="5">
        <v>17.1</v>
      </c>
      <c r="AJ114" s="3"/>
      <c r="AK114" s="33">
        <v>50</v>
      </c>
      <c r="AL114" s="5">
        <f>IF(AK114=0,AI114*AJ114/2,AK114)</f>
        <v>50</v>
      </c>
      <c r="AM114" s="3"/>
      <c r="AN114" s="5"/>
      <c r="AO114" s="5">
        <v>0.174</v>
      </c>
      <c r="AP114" s="5">
        <f>AL114+AI114*(AN114-AO114)/2</f>
        <v>48.5123</v>
      </c>
      <c r="AQ114" s="5">
        <f>0.1*(AE114+AL114)</f>
        <v>13.6</v>
      </c>
      <c r="AR114" s="11">
        <v>20.7</v>
      </c>
      <c r="AS114" s="11"/>
      <c r="AT114" s="11"/>
      <c r="AU114" s="11"/>
      <c r="AV114" s="33">
        <v>70</v>
      </c>
      <c r="AW114" s="5">
        <f>IF(AV114=0,AS114/6*(AT114+AU114*4),AV114)</f>
        <v>70</v>
      </c>
      <c r="AX114" s="11">
        <v>1.31</v>
      </c>
      <c r="AY114" s="5">
        <f>IF(AX114&lt;0.149*M114+0.329,1,AX114/(0.149*M114+0.329))</f>
        <v>1</v>
      </c>
      <c r="AZ114" s="5">
        <f>IF(AW114*AY114&gt;AL114,(AW114*AY114-AL114)/4,0)</f>
        <v>5</v>
      </c>
      <c r="BA114" s="12">
        <f>0.401+0.1831*(2*AR114^2/(AH114+AP114+AZ114))-0.02016*(2*AR114^2/(AH114+AP114+AZ114))^2+0.0007472*(2*AR114^2/(AH114+AP114+AZ114))^3</f>
        <v>0.9301128510450107</v>
      </c>
      <c r="BB114" s="3"/>
      <c r="BC114" s="3"/>
      <c r="BD114" s="3"/>
      <c r="BE114" s="3"/>
      <c r="BF114" s="33">
        <v>170</v>
      </c>
      <c r="BG114" s="5">
        <f>IF(BF114=0,(BC114+BD114)*(BB114/12+BE114/3),BF114)</f>
        <v>170</v>
      </c>
      <c r="BH114" s="5">
        <f>IF(BG114*AY114&gt;AL114+AZ114,BG114*AY114-AL114-AZ114,0)</f>
        <v>115</v>
      </c>
      <c r="BI114" s="42">
        <f>IF(M114/1.6&lt;8,ROUND(M114/1.6,0),8)</f>
        <v>8</v>
      </c>
      <c r="BJ114" s="5">
        <f>(AH114+AP114+AZ114)*BA114+0.1*BH114</f>
        <v>149.3820682984698</v>
      </c>
      <c r="BK114" s="11">
        <v>2</v>
      </c>
      <c r="BL114" s="5">
        <f>M114*0.2</f>
        <v>3.048</v>
      </c>
      <c r="BM114" s="5">
        <f>ROUNDDOWN(M114/2.13,0)</f>
        <v>7</v>
      </c>
      <c r="BN114" s="12">
        <f>M114/4.26</f>
        <v>3.577464788732394</v>
      </c>
      <c r="BO114" s="5">
        <f>IF(M114&lt;8,1.22,IF(M114&lt;15.2,0.108333*M114+0.353,2))</f>
        <v>2</v>
      </c>
      <c r="BP114" s="12">
        <f>IF(BK114&lt;BO114,1+0.3*(BO114-BK114)/M114,1)</f>
        <v>1</v>
      </c>
      <c r="BQ114" s="39">
        <v>10</v>
      </c>
      <c r="BR114" s="39">
        <v>2</v>
      </c>
      <c r="BS114" s="36"/>
      <c r="BT114" t="s" s="24">
        <v>154</v>
      </c>
      <c r="BU114" s="36"/>
      <c r="BV114" s="5">
        <f>IF(BQ114&lt;(M114/0.3048)^0.5,1,IF(BU114="x",1-BR114*0.02,IF(BT114="x",1-BR114*0.01,1)))</f>
        <v>0.98</v>
      </c>
      <c r="BW114" s="12">
        <f>IF(K114="x",MIN(1.315,1.28+U114*N114/BJ114/AR114/1100),IF(L114="x",1.28,MAX(1.245,1.28-U114*N114/BJ114/AR114/1100)))</f>
        <v>1.246396483172129</v>
      </c>
      <c r="BX114" s="41">
        <f>BW114*T114*BV114*BP114*N114^0.3*BJ114^0.4/V114^0.325</f>
        <v>1.151649425830695</v>
      </c>
      <c r="BY114" s="29"/>
      <c r="BZ114" s="29"/>
      <c r="CA114" t="s" s="19">
        <v>162</v>
      </c>
      <c r="CB114" t="s" s="19">
        <v>723</v>
      </c>
      <c r="CC114" t="s" s="19">
        <v>848</v>
      </c>
      <c r="CD114" t="s" s="19">
        <v>849</v>
      </c>
      <c r="CE114" s="3"/>
      <c r="CF114" s="3"/>
      <c r="CG114" t="s" s="30">
        <f>A114</f>
        <v>850</v>
      </c>
    </row>
    <row r="115" ht="12.75" customHeight="1">
      <c r="A115" t="s" s="25">
        <v>851</v>
      </c>
      <c r="B115" t="s" s="19">
        <v>495</v>
      </c>
      <c r="C115" t="s" s="19">
        <v>367</v>
      </c>
      <c r="D115" t="s" s="19">
        <v>496</v>
      </c>
      <c r="E115" t="s" s="19">
        <v>852</v>
      </c>
      <c r="F115" s="3"/>
      <c r="G115" s="3"/>
      <c r="H115" s="32"/>
      <c r="I115" s="32"/>
      <c r="J115" t="s" s="24">
        <v>154</v>
      </c>
      <c r="K115" s="36"/>
      <c r="L115" s="36"/>
      <c r="M115" s="11">
        <v>7.12</v>
      </c>
      <c r="N115" s="5">
        <v>7.12</v>
      </c>
      <c r="O115" s="11">
        <v>4.2</v>
      </c>
      <c r="P115" s="11">
        <v>0.58</v>
      </c>
      <c r="Q115" s="37"/>
      <c r="R115" s="36"/>
      <c r="S115" s="36"/>
      <c r="T115" s="38">
        <f>IF(S115&gt;0,1.048,IF(R115&gt;0,1.048,IF(Q115&gt;0,1.036,0.907+1.55*(P115/N115)-4.449*(P115/N115)^2)))</f>
        <v>1.003741186403232</v>
      </c>
      <c r="U115" s="39">
        <v>1011</v>
      </c>
      <c r="V115" s="40">
        <f>IF(H115="x",75+U115,IF(M115&lt;6.66,150+U115,-1.7384*M115^2+92.38*M115-388+U115))</f>
        <v>1192.61845504</v>
      </c>
      <c r="W115" s="5">
        <v>3.17</v>
      </c>
      <c r="X115" s="5">
        <v>3.05</v>
      </c>
      <c r="Y115" s="5">
        <v>2.69</v>
      </c>
      <c r="Z115" s="5">
        <v>1.93</v>
      </c>
      <c r="AA115" s="5">
        <v>0.17</v>
      </c>
      <c r="AB115" s="5"/>
      <c r="AC115" s="5">
        <v>8.75</v>
      </c>
      <c r="AD115" s="33"/>
      <c r="AE115" s="5">
        <f>IF(AD115=0,(W115+4*X115+2*Y115+4*Z115+AA115)*AC115/12+W115*AB115/1.5,AD115)</f>
        <v>20.88333333333333</v>
      </c>
      <c r="AF115" s="11">
        <v>9.640000000000001</v>
      </c>
      <c r="AG115" s="11">
        <v>0.43</v>
      </c>
      <c r="AH115" s="5">
        <f>IF(AC115=0,AE115+AF115*AG115/2,AE115+AC115*AG115/2)</f>
        <v>22.76458333333333</v>
      </c>
      <c r="AI115" s="5">
        <v>7.12</v>
      </c>
      <c r="AJ115" s="5">
        <v>2.34</v>
      </c>
      <c r="AK115" s="33"/>
      <c r="AL115" s="5">
        <f>IF(AK115=0,AI115*AJ115/2,AK115)</f>
        <v>8.330399999999999</v>
      </c>
      <c r="AM115" s="3"/>
      <c r="AN115" s="5"/>
      <c r="AO115" s="5"/>
      <c r="AP115" s="5">
        <f>AL115+AI115*(AN115-AO115)/2</f>
        <v>8.330399999999999</v>
      </c>
      <c r="AQ115" s="5">
        <f>0.1*(AE115+AL115)</f>
        <v>2.921373333333333</v>
      </c>
      <c r="AR115" s="11">
        <v>9.640000000000001</v>
      </c>
      <c r="AS115" s="11"/>
      <c r="AT115" s="11"/>
      <c r="AU115" s="11"/>
      <c r="AV115" s="33"/>
      <c r="AW115" s="5">
        <f>IF(AV115=0,AS115/6*(AT115+AU115*4),AV115)</f>
        <v>0</v>
      </c>
      <c r="AX115" s="11"/>
      <c r="AY115" s="5">
        <f>IF(AX115&lt;0.149*M115+0.329,1,AX115/(0.149*M115+0.329))</f>
        <v>1</v>
      </c>
      <c r="AZ115" s="5">
        <f>IF(AW115*AY115&gt;AL115,(AW115*AY115-AL115)/4,0)</f>
        <v>0</v>
      </c>
      <c r="BA115" s="12">
        <f>0.401+0.1831*(2*AR115^2/(AH115+AP115+AZ115))-0.02016*(2*AR115^2/(AH115+AP115+AZ115))^2+0.0007472*(2*AR115^2/(AH115+AP115+AZ115))^3</f>
        <v>0.9347316561127053</v>
      </c>
      <c r="BB115" s="3"/>
      <c r="BC115" s="3"/>
      <c r="BD115" s="3"/>
      <c r="BE115" s="3"/>
      <c r="BF115" s="33"/>
      <c r="BG115" s="5">
        <f>IF(BF115=0,(BC115+BD115)*(BB115/12+BE115/3),BF115)</f>
        <v>0</v>
      </c>
      <c r="BH115" s="5">
        <f>IF(BG115*AY115&gt;AL115+AZ115,BG115*AY115-AL115-AZ115,0)</f>
        <v>0</v>
      </c>
      <c r="BI115" s="5">
        <f>IF(M115/1.6&lt;8,ROUND(M115/1.6,0),8)</f>
        <v>4</v>
      </c>
      <c r="BJ115" s="5">
        <f>(AH115+AP115+AZ115)*BA115+0.1*BH115</f>
        <v>29.06546526796363</v>
      </c>
      <c r="BK115" s="11">
        <v>1.22</v>
      </c>
      <c r="BL115" s="5">
        <f>M115*0.2</f>
        <v>1.424</v>
      </c>
      <c r="BM115" s="5">
        <f>ROUNDDOWN(M115/2.13,0)</f>
        <v>3</v>
      </c>
      <c r="BN115" s="12">
        <f>M115/4.26</f>
        <v>1.671361502347418</v>
      </c>
      <c r="BO115" s="5">
        <f>IF(M115&lt;8,1.22,IF(M115&lt;15.2,0.108333*M115+0.353,2))</f>
        <v>1.22</v>
      </c>
      <c r="BP115" s="12">
        <f>IF(BK115&lt;BO115,1+0.3*(BO115-BK115)/M115,1)</f>
        <v>1</v>
      </c>
      <c r="BQ115" s="32"/>
      <c r="BR115" s="39">
        <v>0</v>
      </c>
      <c r="BS115" t="s" s="24">
        <v>154</v>
      </c>
      <c r="BT115" s="36"/>
      <c r="BU115" s="36"/>
      <c r="BV115" s="5">
        <f>IF(BQ115&lt;(M115/0.3048)^0.5,1,IF(BU115="x",1-BR115*0.02,IF(BT115="x",1-BR115*0.01,1)))</f>
        <v>1</v>
      </c>
      <c r="BW115" s="12">
        <f>IF(K115="x",MIN(1.315,1.28+U115*N115/BJ115/AR115/1100),IF(L115="x",1.28,MAX(1.245,1.28-U115*N115/BJ115/AR115/1100)))</f>
        <v>1.256644769877495</v>
      </c>
      <c r="BX115" s="41">
        <f>BW115*T115*BV115*BP115*N115^0.3*BJ115^0.4/V115^0.325</f>
        <v>0.8751171339138408</v>
      </c>
      <c r="BY115" s="29"/>
      <c r="BZ115" s="29"/>
      <c r="CA115" t="s" s="19">
        <v>162</v>
      </c>
      <c r="CB115" s="42">
        <v>1997</v>
      </c>
      <c r="CC115" t="s" s="19">
        <v>254</v>
      </c>
      <c r="CD115" t="s" s="19">
        <v>415</v>
      </c>
      <c r="CE115" s="3"/>
      <c r="CF115" s="3"/>
      <c r="CG115" t="s" s="30">
        <f>A115</f>
        <v>853</v>
      </c>
    </row>
    <row r="116" ht="12.75" customHeight="1">
      <c r="A116" t="s" s="25">
        <v>854</v>
      </c>
      <c r="B116" t="s" s="19">
        <v>580</v>
      </c>
      <c r="C116" t="s" s="19">
        <v>213</v>
      </c>
      <c r="D116" t="s" s="19">
        <v>228</v>
      </c>
      <c r="E116" t="s" s="19">
        <v>855</v>
      </c>
      <c r="F116" s="3"/>
      <c r="G116" s="3"/>
      <c r="H116" s="32"/>
      <c r="I116" s="32"/>
      <c r="J116" t="s" s="24">
        <v>154</v>
      </c>
      <c r="K116" s="36"/>
      <c r="L116" s="36"/>
      <c r="M116" s="11">
        <v>13.95</v>
      </c>
      <c r="N116" s="5">
        <v>13.95</v>
      </c>
      <c r="O116" s="11">
        <v>7.62</v>
      </c>
      <c r="P116" s="11">
        <v>1.08</v>
      </c>
      <c r="Q116" s="37"/>
      <c r="R116" s="36"/>
      <c r="S116" s="36"/>
      <c r="T116" s="38">
        <f>IF(S116&gt;0,1.048,IF(R116&gt;0,1.048,IF(Q116&gt;0,1.036,0.907+1.55*(P116/N116)-4.449*(P116/N116)^2)))</f>
        <v>1.000333777315297</v>
      </c>
      <c r="U116" s="39">
        <v>7060</v>
      </c>
      <c r="V116" s="40">
        <f>IF(H116="x",75+U116,IF(M116&lt;6.66,150+U116,-1.7384*M116^2+92.38*M116-388+U116))</f>
        <v>7622.404014</v>
      </c>
      <c r="W116" s="5"/>
      <c r="X116" s="5"/>
      <c r="Y116" s="5"/>
      <c r="Z116" s="5"/>
      <c r="AA116" s="5"/>
      <c r="AB116" s="5"/>
      <c r="AC116" s="5">
        <v>18.9</v>
      </c>
      <c r="AD116" s="33">
        <v>84</v>
      </c>
      <c r="AE116" s="5">
        <f>IF(AD116=0,(W116+4*X116+2*Y116+4*Z116+AA116)*AC116/12+W116*AB116/1.5,AD116)</f>
        <v>84</v>
      </c>
      <c r="AF116" s="11">
        <v>19.4</v>
      </c>
      <c r="AG116" s="11">
        <v>0.902</v>
      </c>
      <c r="AH116" s="5">
        <f>IF(AC116=0,AE116+AF116*AG116/2,AE116+AC116*AG116/2)</f>
        <v>92.5239</v>
      </c>
      <c r="AI116" s="5">
        <v>16.4</v>
      </c>
      <c r="AJ116" s="3"/>
      <c r="AK116" s="33">
        <v>46</v>
      </c>
      <c r="AL116" s="5">
        <f>IF(AK116=0,AI116*AJ116/2,AK116)</f>
        <v>46</v>
      </c>
      <c r="AM116" s="3"/>
      <c r="AN116" s="5"/>
      <c r="AO116" s="5">
        <v>0.174</v>
      </c>
      <c r="AP116" s="5">
        <f>AL116+AI116*(AN116-AO116)/2</f>
        <v>44.5732</v>
      </c>
      <c r="AQ116" s="5">
        <f>0.1*(AE116+AL116)</f>
        <v>13</v>
      </c>
      <c r="AR116" s="11">
        <v>20.18</v>
      </c>
      <c r="AS116" s="11"/>
      <c r="AT116" s="11"/>
      <c r="AU116" s="11"/>
      <c r="AV116" s="33">
        <v>79</v>
      </c>
      <c r="AW116" s="5">
        <f>IF(AV116=0,AS116/6*(AT116+AU116*4),AV116)</f>
        <v>79</v>
      </c>
      <c r="AX116" s="11">
        <v>1.2</v>
      </c>
      <c r="AY116" s="5">
        <f>IF(AX116&lt;0.149*M116+0.329,1,AX116/(0.149*M116+0.329))</f>
        <v>1</v>
      </c>
      <c r="AZ116" s="5">
        <f>IF(AW116*AY116&gt;AL116,(AW116*AY116-AL116)/4,0)</f>
        <v>8.25</v>
      </c>
      <c r="BA116" s="12">
        <f>0.401+0.1831*(2*AR116^2/(AH116+AP116+AZ116))-0.02016*(2*AR116^2/(AH116+AP116+AZ116))^2+0.0007472*(2*AR116^2/(AH116+AP116+AZ116))^3</f>
        <v>0.9254615343081387</v>
      </c>
      <c r="BB116" s="3"/>
      <c r="BC116" s="3"/>
      <c r="BD116" s="3"/>
      <c r="BE116" s="3"/>
      <c r="BF116" s="33">
        <v>190</v>
      </c>
      <c r="BG116" s="5">
        <f>IF(BF116=0,(BC116+BD116)*(BB116/12+BE116/3),BF116)</f>
        <v>190</v>
      </c>
      <c r="BH116" s="5">
        <f>IF(BG116*AY116&gt;AL116+AZ116,BG116*AY116-AL116-AZ116,0)</f>
        <v>135.75</v>
      </c>
      <c r="BI116" s="42">
        <f>IF(M116/1.6&lt;8,ROUND(M116/1.6,0),8)</f>
        <v>8</v>
      </c>
      <c r="BJ116" s="5">
        <f>(AH116+AP116+AZ116)*BA116+0.1*BH116</f>
        <v>148.0881501732385</v>
      </c>
      <c r="BK116" s="11">
        <v>1.85</v>
      </c>
      <c r="BL116" s="5">
        <f>M116*0.2</f>
        <v>2.79</v>
      </c>
      <c r="BM116" s="5">
        <f>ROUNDDOWN(M116/2.13,0)</f>
        <v>6</v>
      </c>
      <c r="BN116" s="12">
        <f>M116/4.26</f>
        <v>3.274647887323944</v>
      </c>
      <c r="BO116" s="5">
        <f>IF(M116&lt;8,1.22,IF(M116&lt;15.2,0.108333*M116+0.353,2))</f>
        <v>1.86424535</v>
      </c>
      <c r="BP116" s="12">
        <f>IF(BK116&lt;BO116,1+0.3*(BO116-BK116)/M116,1)</f>
        <v>1.000306351612903</v>
      </c>
      <c r="BQ116" s="39">
        <v>8</v>
      </c>
      <c r="BR116" s="39">
        <v>2</v>
      </c>
      <c r="BS116" s="36"/>
      <c r="BT116" t="s" s="24">
        <v>154</v>
      </c>
      <c r="BU116" s="36"/>
      <c r="BV116" s="5">
        <f>IF(BQ116&lt;(M116/0.3048)^0.5,1,IF(BU116="x",1-BR116*0.02,IF(BT116="x",1-BR116*0.01,1)))</f>
        <v>0.98</v>
      </c>
      <c r="BW116" s="12">
        <f>IF(K116="x",MIN(1.315,1.28+U116*N116/BJ116/AR116/1100),IF(L116="x",1.28,MAX(1.245,1.28-U116*N116/BJ116/AR116/1100)))</f>
        <v>1.25003979688136</v>
      </c>
      <c r="BX116" s="41">
        <f>BW116*T116*BV116*BP116*N116^0.3*BJ116^0.4/V116^0.325</f>
        <v>1.092265892555939</v>
      </c>
      <c r="BY116" s="29"/>
      <c r="BZ116" s="29"/>
      <c r="CA116" t="s" s="19">
        <v>213</v>
      </c>
      <c r="CB116" t="s" s="19">
        <v>856</v>
      </c>
      <c r="CC116" t="s" s="19">
        <v>232</v>
      </c>
      <c r="CD116" s="3"/>
      <c r="CE116" s="3"/>
      <c r="CF116" s="3"/>
      <c r="CG116" t="s" s="30">
        <f>A116</f>
        <v>857</v>
      </c>
    </row>
    <row r="117" ht="12.75" customHeight="1">
      <c r="A117" t="s" s="25">
        <v>858</v>
      </c>
      <c r="B117" t="s" s="19">
        <v>859</v>
      </c>
      <c r="C117" t="s" s="19">
        <v>265</v>
      </c>
      <c r="D117" t="s" s="19">
        <v>860</v>
      </c>
      <c r="E117" t="s" s="19">
        <v>861</v>
      </c>
      <c r="F117" t="s" s="19">
        <v>862</v>
      </c>
      <c r="G117" t="s" s="19">
        <v>863</v>
      </c>
      <c r="H117" s="32"/>
      <c r="I117" s="32"/>
      <c r="J117" t="s" s="24">
        <v>154</v>
      </c>
      <c r="K117" s="36"/>
      <c r="L117" s="36"/>
      <c r="M117" s="11">
        <v>17.09</v>
      </c>
      <c r="N117" s="5">
        <v>17.09</v>
      </c>
      <c r="O117" s="11">
        <v>8.960000000000001</v>
      </c>
      <c r="P117" s="11">
        <v>1.5</v>
      </c>
      <c r="Q117" s="37"/>
      <c r="R117" s="36"/>
      <c r="S117" s="36"/>
      <c r="T117" s="38">
        <f>IF(S117&gt;0,1.048,IF(R117&gt;0,1.048,IF(Q117&gt;0,1.036,0.907+1.55*(P117/N117)-4.449*(P117/N117)^2)))</f>
        <v>1.008770785648963</v>
      </c>
      <c r="U117" s="39">
        <v>17000</v>
      </c>
      <c r="V117" s="40">
        <f>IF(H117="x",75+U117,IF(M117&lt;6.66,150+U117,-1.7384*M117^2+92.38*M117-388+U117))</f>
        <v>17683.04301496</v>
      </c>
      <c r="W117" s="5"/>
      <c r="X117" s="5"/>
      <c r="Y117" s="5"/>
      <c r="Z117" s="5"/>
      <c r="AA117" s="5"/>
      <c r="AB117" s="5"/>
      <c r="AC117" s="5"/>
      <c r="AD117" s="33">
        <v>110</v>
      </c>
      <c r="AE117" s="5">
        <f>IF(AD117=0,(W117+4*X117+2*Y117+4*Z117+AA117)*AC117/12+W117*AB117/1.5,AD117)</f>
        <v>110</v>
      </c>
      <c r="AF117" s="11">
        <v>24</v>
      </c>
      <c r="AG117" s="11"/>
      <c r="AH117" s="5">
        <f>IF(AC117=0,AE117+AF117*AG117/2,AE117+AC117*AG117/2)</f>
        <v>110</v>
      </c>
      <c r="AI117" s="3"/>
      <c r="AJ117" s="3"/>
      <c r="AK117" s="33">
        <v>70</v>
      </c>
      <c r="AL117" s="5">
        <f>IF(AK117=0,AI117*AJ117/2,AK117)</f>
        <v>70</v>
      </c>
      <c r="AM117" s="3"/>
      <c r="AN117" s="5"/>
      <c r="AO117" s="5">
        <v>0.2</v>
      </c>
      <c r="AP117" s="5">
        <f>AL117+AI117*(AN117-AO117)/2</f>
        <v>70</v>
      </c>
      <c r="AQ117" s="5">
        <f>0.1*(AE117+AL117)</f>
        <v>18</v>
      </c>
      <c r="AR117" s="11">
        <v>24</v>
      </c>
      <c r="AS117" s="11"/>
      <c r="AT117" s="11"/>
      <c r="AU117" s="11"/>
      <c r="AV117" s="33">
        <v>110</v>
      </c>
      <c r="AW117" s="5">
        <f>IF(AV117=0,AS117/6*(AT117+AU117*4),AV117)</f>
        <v>110</v>
      </c>
      <c r="AX117" s="11">
        <v>1.5</v>
      </c>
      <c r="AY117" s="5">
        <f>IF(AX117&lt;0.149*M117+0.329,1,AX117/(0.149*M117+0.329))</f>
        <v>1</v>
      </c>
      <c r="AZ117" s="5">
        <f>IF(AW117*AY117&gt;AL117,(AW117*AY117-AL117)/4,0)</f>
        <v>10</v>
      </c>
      <c r="BA117" s="12">
        <f>0.401+0.1831*(2*AR117^2/(AH117+AP117+AZ117))-0.02016*(2*AR117^2/(AH117+AP117+AZ117))^2+0.0007472*(2*AR117^2/(AH117+AP117+AZ117))^3</f>
        <v>0.9365903641547748</v>
      </c>
      <c r="BB117" s="3"/>
      <c r="BC117" s="3"/>
      <c r="BD117" s="3"/>
      <c r="BE117" s="3"/>
      <c r="BF117" s="33"/>
      <c r="BG117" s="5">
        <f>IF(BF117=0,(BC117+BD117)*(BB117/12+BE117/3),BF117)</f>
        <v>0</v>
      </c>
      <c r="BH117" s="5">
        <f>IF(BG117*AY117&gt;AL117+AZ117,BG117*AY117-AL117-AZ117,0)</f>
        <v>0</v>
      </c>
      <c r="BI117" s="42">
        <f>IF(M117/1.6&lt;8,ROUND(M117/1.6,0),8)</f>
        <v>8</v>
      </c>
      <c r="BJ117" s="5">
        <f>(AH117+AP117+AZ117)*BA117+0.1*BH117</f>
        <v>177.9521691894072</v>
      </c>
      <c r="BK117" s="11">
        <v>2</v>
      </c>
      <c r="BL117" s="5">
        <f>M117*0.2</f>
        <v>3.418</v>
      </c>
      <c r="BM117" s="5">
        <f>ROUNDDOWN(M117/2.13,0)</f>
        <v>8</v>
      </c>
      <c r="BN117" s="12">
        <f>M117/4.26</f>
        <v>4.011737089201878</v>
      </c>
      <c r="BO117" s="5">
        <f>IF(M117&lt;8,1.22,IF(M117&lt;15.2,0.108333*M117+0.353,2))</f>
        <v>2</v>
      </c>
      <c r="BP117" s="12">
        <f>IF(BK117&lt;BO117,1+0.3*(BO117-BK117)/M117,1)</f>
        <v>1</v>
      </c>
      <c r="BQ117" s="39">
        <v>8</v>
      </c>
      <c r="BR117" s="39">
        <v>2</v>
      </c>
      <c r="BS117" s="36"/>
      <c r="BT117" t="s" s="24">
        <v>154</v>
      </c>
      <c r="BU117" s="36"/>
      <c r="BV117" s="5">
        <f>IF(BQ117&lt;(M117/0.3048)^0.5,1,IF(BU117="x",1-BR117*0.02,IF(BT117="x",1-BR117*0.01,1)))</f>
        <v>0.98</v>
      </c>
      <c r="BW117" s="12">
        <f>IF(K117="x",MIN(1.315,1.28+U117*N117/BJ117/AR117/1100),IF(L117="x",1.28,MAX(1.245,1.28-U117*N117/BJ117/AR117/1100)))</f>
        <v>1.245</v>
      </c>
      <c r="BX117" s="41">
        <f>BW117*T117*BV117*BP117*N117^0.3*BJ117^0.4/V117^0.325</f>
        <v>0.9542800195716364</v>
      </c>
      <c r="BY117" s="29"/>
      <c r="BZ117" s="29"/>
      <c r="CA117" s="3"/>
      <c r="CB117" s="3"/>
      <c r="CC117" s="3"/>
      <c r="CD117" s="3"/>
      <c r="CE117" s="3"/>
      <c r="CF117" s="3"/>
      <c r="CG117" t="s" s="30">
        <f>A117</f>
        <v>864</v>
      </c>
    </row>
    <row r="118" ht="12.75" customHeight="1">
      <c r="A118" t="s" s="25">
        <v>865</v>
      </c>
      <c r="B118" t="s" s="19">
        <v>149</v>
      </c>
      <c r="C118" t="s" s="19">
        <v>150</v>
      </c>
      <c r="D118" t="s" s="19">
        <v>151</v>
      </c>
      <c r="E118" t="s" s="19">
        <v>866</v>
      </c>
      <c r="F118" t="s" s="19">
        <v>867</v>
      </c>
      <c r="G118" s="3"/>
      <c r="H118" s="32"/>
      <c r="I118" s="32"/>
      <c r="J118" s="36"/>
      <c r="K118" t="s" s="24">
        <v>154</v>
      </c>
      <c r="L118" s="36"/>
      <c r="M118" s="11">
        <v>6.55</v>
      </c>
      <c r="N118" s="5">
        <v>6.52</v>
      </c>
      <c r="O118" s="11">
        <v>4.68</v>
      </c>
      <c r="P118" s="11"/>
      <c r="Q118" s="37"/>
      <c r="R118" s="43">
        <v>1.3</v>
      </c>
      <c r="S118" s="36"/>
      <c r="T118" s="38">
        <f>IF(S118&gt;0,1.048,IF(R118&gt;0,1.048,IF(Q118&gt;0,1.036,0.907+1.55*(P118/N118)-4.449*(P118/N118)^2)))</f>
        <v>1.048</v>
      </c>
      <c r="U118" s="39">
        <v>676</v>
      </c>
      <c r="V118" s="40">
        <f>IF(H118="x",75+U118,IF(M118&lt;6.66,150+U118,-1.7384*M118^2+92.38*M118-388+U118))</f>
        <v>826</v>
      </c>
      <c r="W118" s="5"/>
      <c r="X118" s="5"/>
      <c r="Y118" s="5"/>
      <c r="Z118" s="5"/>
      <c r="AA118" s="5"/>
      <c r="AB118" s="5"/>
      <c r="AC118" s="5">
        <v>7.5</v>
      </c>
      <c r="AD118" s="33">
        <v>20</v>
      </c>
      <c r="AE118" s="5">
        <f>IF(AD118=0,(W118+4*X118+2*Y118+4*Z118+AA118)*AC118/12+W118*AB118/1.5,AD118)</f>
        <v>20</v>
      </c>
      <c r="AF118" s="11">
        <v>8</v>
      </c>
      <c r="AG118" s="11"/>
      <c r="AH118" s="5">
        <f>IF(AC118=0,AE118+AF118*AG118/2,AE118+AC118*AG118/2)</f>
        <v>20</v>
      </c>
      <c r="AI118" s="5">
        <v>7.4</v>
      </c>
      <c r="AJ118" s="3"/>
      <c r="AK118" s="33">
        <v>8</v>
      </c>
      <c r="AL118" s="5">
        <f>IF(AK118=0,AI118*AJ118/2,AK118)</f>
        <v>8</v>
      </c>
      <c r="AM118" t="s" s="19">
        <v>154</v>
      </c>
      <c r="AN118" s="5"/>
      <c r="AO118" s="5"/>
      <c r="AP118" s="5">
        <f>AL118+AI118*(AN118-AO118)/2</f>
        <v>8</v>
      </c>
      <c r="AQ118" s="5">
        <f>0.1*(AE118+AL118)</f>
        <v>2.8</v>
      </c>
      <c r="AR118" s="11">
        <v>8.300000000000001</v>
      </c>
      <c r="AS118" s="11"/>
      <c r="AT118" s="11"/>
      <c r="AU118" s="11"/>
      <c r="AV118" s="33"/>
      <c r="AW118" s="5">
        <f>IF(AV118=0,AS118/6*(AT118+AU118*4),AV118)</f>
        <v>0</v>
      </c>
      <c r="AX118" s="11">
        <v>0.8</v>
      </c>
      <c r="AY118" s="5">
        <f>IF(AX118&lt;0.149*M118+0.329,1,AX118/(0.149*M118+0.329))</f>
        <v>1</v>
      </c>
      <c r="AZ118" s="5">
        <f>IF(AW118*AY118&gt;AL118,(AW118*AY118-AL118)/4,0)</f>
        <v>0</v>
      </c>
      <c r="BA118" s="12">
        <f>0.401+0.1831*(2*AR118^2/(AH118+AP118+AZ118))-0.02016*(2*AR118^2/(AH118+AP118+AZ118))^2+0.0007472*(2*AR118^2/(AH118+AP118+AZ118))^3</f>
        <v>0.9028669675937744</v>
      </c>
      <c r="BB118" s="3"/>
      <c r="BC118" s="3"/>
      <c r="BD118" s="3"/>
      <c r="BE118" s="3"/>
      <c r="BF118" s="33">
        <v>43</v>
      </c>
      <c r="BG118" s="5">
        <f>IF(BF118=0,(BC118+BD118)*(BB118/12+BE118/3),BF118)</f>
        <v>43</v>
      </c>
      <c r="BH118" s="5">
        <f>IF(BG118*AY118&gt;AL118+AZ118,BG118*AY118-AL118-AZ118,0)</f>
        <v>35</v>
      </c>
      <c r="BI118" s="5">
        <f>IF(M118/1.6&lt;8,ROUND(M118/1.6,0),8)</f>
        <v>4</v>
      </c>
      <c r="BJ118" s="5">
        <f>(AH118+AP118+AZ118)*BA118+0.1*BH118</f>
        <v>28.78027509262568</v>
      </c>
      <c r="BK118" s="11">
        <v>1.5</v>
      </c>
      <c r="BL118" s="5">
        <f>M118*0.2</f>
        <v>1.31</v>
      </c>
      <c r="BM118" s="5">
        <f>ROUNDDOWN(M118/2.13,0)</f>
        <v>3</v>
      </c>
      <c r="BN118" s="12">
        <f>M118/4.26</f>
        <v>1.537558685446009</v>
      </c>
      <c r="BO118" s="5">
        <f>IF(M118&lt;8,1.22,IF(M118&lt;15.2,0.108333*M118+0.353,2))</f>
        <v>1.22</v>
      </c>
      <c r="BP118" s="12">
        <f>IF(BK118&lt;BO118,1+0.3*(BO118-BK118)/M118,1)</f>
        <v>1</v>
      </c>
      <c r="BQ118" s="39">
        <v>5</v>
      </c>
      <c r="BR118" s="39">
        <v>1</v>
      </c>
      <c r="BS118" t="s" s="24">
        <v>154</v>
      </c>
      <c r="BT118" s="36"/>
      <c r="BU118" s="36"/>
      <c r="BV118" s="5">
        <f>IF(BQ118&lt;(M118/0.3048)^0.5,1,IF(BU118="x",1-BR118*0.02,IF(BT118="x",1-BR118*0.01,1)))</f>
        <v>1</v>
      </c>
      <c r="BW118" s="12">
        <f>IF(K118="x",MIN(1.315,1.28+U118*N118/BJ118/AR118/1100),IF(L118="x",1.28,MAX(1.245,1.28-U118*N118/BJ118/AR118/1100)))</f>
        <v>1.296773688491828</v>
      </c>
      <c r="BX118" s="41">
        <f>BW118*T118*BV118*BP118*N118^0.3*BJ118^0.4/V118^0.325</f>
        <v>1.030668996850766</v>
      </c>
      <c r="BY118" s="29"/>
      <c r="BZ118" s="29"/>
      <c r="CA118" t="s" s="19">
        <v>188</v>
      </c>
      <c r="CB118" t="s" s="19">
        <v>868</v>
      </c>
      <c r="CC118" t="s" s="19">
        <v>869</v>
      </c>
      <c r="CD118" s="3"/>
      <c r="CE118" s="3"/>
      <c r="CF118" s="3"/>
      <c r="CG118" t="s" s="30">
        <f>A118</f>
        <v>870</v>
      </c>
    </row>
    <row r="119" ht="12.75" customHeight="1">
      <c r="A119" t="s" s="25">
        <v>871</v>
      </c>
      <c r="B119" t="s" s="19">
        <v>872</v>
      </c>
      <c r="C119" t="s" s="19">
        <v>218</v>
      </c>
      <c r="D119" t="s" s="19">
        <v>219</v>
      </c>
      <c r="E119" t="s" s="19">
        <v>873</v>
      </c>
      <c r="F119" s="3"/>
      <c r="G119" s="3"/>
      <c r="H119" s="32"/>
      <c r="I119" s="32"/>
      <c r="J119" t="s" s="24">
        <v>154</v>
      </c>
      <c r="K119" s="36"/>
      <c r="L119" s="36"/>
      <c r="M119" s="11">
        <v>11.8</v>
      </c>
      <c r="N119" s="5">
        <v>11.8</v>
      </c>
      <c r="O119" s="11">
        <v>6.6</v>
      </c>
      <c r="P119" s="11"/>
      <c r="Q119" s="37"/>
      <c r="R119" t="s" s="24">
        <v>874</v>
      </c>
      <c r="S119" s="36"/>
      <c r="T119" s="38">
        <f>IF(S119&gt;0,1.048,IF(R119&gt;0,1.048,IF(Q119&gt;0,1.036,0.907+1.55*(P119/N119)-4.449*(P119/N119)^2)))</f>
        <v>1.048</v>
      </c>
      <c r="U119" s="39">
        <v>7000</v>
      </c>
      <c r="V119" s="40">
        <f>IF(H119="x",75+U119,IF(M119&lt;6.66,150+U119,-1.7384*M119^2+92.38*M119-388+U119))</f>
        <v>7460.029184</v>
      </c>
      <c r="W119" s="5"/>
      <c r="X119" s="5"/>
      <c r="Y119" s="5"/>
      <c r="Z119" s="5"/>
      <c r="AA119" s="5"/>
      <c r="AB119" s="5"/>
      <c r="AC119" s="5"/>
      <c r="AD119" s="33">
        <v>40</v>
      </c>
      <c r="AE119" s="5">
        <f>IF(AD119=0,(W119+4*X119+2*Y119+4*Z119+AA119)*AC119/12+W119*AB119/1.5,AD119)</f>
        <v>40</v>
      </c>
      <c r="AF119" s="11">
        <v>15</v>
      </c>
      <c r="AG119" s="11"/>
      <c r="AH119" s="5">
        <f>IF(AC119=0,AE119+AF119*AG119/2,AE119+AC119*AG119/2)</f>
        <v>40</v>
      </c>
      <c r="AI119" s="3"/>
      <c r="AJ119" s="3"/>
      <c r="AK119" s="33">
        <v>40</v>
      </c>
      <c r="AL119" s="5">
        <f>IF(AK119=0,AI119*AJ119/2,AK119)</f>
        <v>40</v>
      </c>
      <c r="AM119" s="3"/>
      <c r="AN119" s="5"/>
      <c r="AO119" s="5"/>
      <c r="AP119" s="5">
        <f>AL119+AI119*(AN119-AO119)/2</f>
        <v>40</v>
      </c>
      <c r="AQ119" s="5">
        <f>0.1*(AE119+AL119)</f>
        <v>8</v>
      </c>
      <c r="AR119" s="11">
        <v>16</v>
      </c>
      <c r="AS119" s="11"/>
      <c r="AT119" s="11"/>
      <c r="AU119" s="11"/>
      <c r="AV119" s="33"/>
      <c r="AW119" s="5">
        <f>IF(AV119=0,AS119/6*(AT119+AU119*4),AV119)</f>
        <v>0</v>
      </c>
      <c r="AX119" s="11">
        <v>0</v>
      </c>
      <c r="AY119" s="5">
        <f>IF(AX119&lt;0.149*M119+0.329,1,AX119/(0.149*M119+0.329))</f>
        <v>1</v>
      </c>
      <c r="AZ119" s="5">
        <f>IF(AW119*AY119&gt;AL119,(AW119*AY119-AL119)/4,0)</f>
        <v>0</v>
      </c>
      <c r="BA119" s="12">
        <f>0.401+0.1831*(2*AR119^2/(AH119+AP119+AZ119))-0.02016*(2*AR119^2/(AH119+AP119+AZ119))^2+0.0007472*(2*AR119^2/(AH119+AP119+AZ119))^3</f>
        <v>0.9429603968000001</v>
      </c>
      <c r="BB119" s="3"/>
      <c r="BC119" s="3"/>
      <c r="BD119" s="3"/>
      <c r="BE119" s="3"/>
      <c r="BF119" s="33">
        <v>90</v>
      </c>
      <c r="BG119" s="5">
        <f>IF(BF119=0,(BC119+BD119)*(BB119/12+BE119/3),BF119)</f>
        <v>90</v>
      </c>
      <c r="BH119" s="5">
        <f>IF(BG119*AY119&gt;AL119+AZ119,BG119*AY119-AL119-AZ119,0)</f>
        <v>50</v>
      </c>
      <c r="BI119" s="5">
        <f>IF(M119/1.6&lt;8,ROUND(M119/1.6,0),8)</f>
        <v>7</v>
      </c>
      <c r="BJ119" s="5">
        <f>(AH119+AP119+AZ119)*BA119+0.1*BH119</f>
        <v>80.436831744</v>
      </c>
      <c r="BK119" s="11">
        <v>1.95</v>
      </c>
      <c r="BL119" s="5">
        <f>M119*0.2</f>
        <v>2.36</v>
      </c>
      <c r="BM119" s="5">
        <f>ROUNDDOWN(M119/2.13,0)</f>
        <v>5</v>
      </c>
      <c r="BN119" s="12">
        <f>M119/4.26</f>
        <v>2.769953051643193</v>
      </c>
      <c r="BO119" s="5">
        <f>IF(M119&lt;8,1.22,IF(M119&lt;15.2,0.108333*M119+0.353,2))</f>
        <v>1.6313294</v>
      </c>
      <c r="BP119" s="12">
        <f>IF(BK119&lt;BO119,1+0.3*(BO119-BK119)/M119,1)</f>
        <v>1</v>
      </c>
      <c r="BQ119" s="39">
        <v>6</v>
      </c>
      <c r="BR119" s="39">
        <v>2</v>
      </c>
      <c r="BS119" s="36"/>
      <c r="BT119" t="s" s="24">
        <v>154</v>
      </c>
      <c r="BU119" s="36"/>
      <c r="BV119" s="5">
        <f>IF(BQ119&lt;(M119/0.3048)^0.5,1,IF(BU119="x",1-BR119*0.02,IF(BT119="x",1-BR119*0.01,1)))</f>
        <v>1</v>
      </c>
      <c r="BW119" s="12">
        <f>IF(K119="x",MIN(1.315,1.28+U119*N119/BJ119/AR119/1100),IF(L119="x",1.28,MAX(1.245,1.28-U119*N119/BJ119/AR119/1100)))</f>
        <v>1.245</v>
      </c>
      <c r="BX119" s="41">
        <f>BW119*T119*BV119*BP119*N119^0.3*BJ119^0.4/V119^0.325</f>
        <v>0.8722411017752578</v>
      </c>
      <c r="BY119" s="29"/>
      <c r="BZ119" s="29"/>
      <c r="CA119" t="s" s="19">
        <v>188</v>
      </c>
      <c r="CB119" t="s" s="19">
        <v>245</v>
      </c>
      <c r="CC119" t="s" s="19">
        <v>180</v>
      </c>
      <c r="CD119" s="3"/>
      <c r="CE119" s="3"/>
      <c r="CF119" s="3"/>
      <c r="CG119" t="s" s="30">
        <f>A119</f>
        <v>875</v>
      </c>
    </row>
    <row r="120" ht="12.75" customHeight="1">
      <c r="A120" t="s" s="25">
        <v>876</v>
      </c>
      <c r="B120" t="s" s="19">
        <v>877</v>
      </c>
      <c r="C120" t="s" s="19">
        <v>304</v>
      </c>
      <c r="D120" t="s" s="19">
        <v>305</v>
      </c>
      <c r="E120" t="s" s="19">
        <v>878</v>
      </c>
      <c r="F120" s="3"/>
      <c r="G120" s="3"/>
      <c r="H120" s="32"/>
      <c r="I120" s="32"/>
      <c r="J120" t="s" s="24">
        <v>154</v>
      </c>
      <c r="K120" s="36"/>
      <c r="L120" s="36"/>
      <c r="M120" s="11">
        <v>8</v>
      </c>
      <c r="N120" s="5">
        <v>8</v>
      </c>
      <c r="O120" s="11">
        <v>4.5</v>
      </c>
      <c r="P120" s="11">
        <v>0.7</v>
      </c>
      <c r="Q120" s="37"/>
      <c r="R120" s="36"/>
      <c r="S120" s="36"/>
      <c r="T120" s="38">
        <f>IF(S120&gt;0,1.048,IF(R120&gt;0,1.048,IF(Q120&gt;0,1.036,0.907+1.55*(P120/N120)-4.449*(P120/N120)^2)))</f>
        <v>1.008562343750</v>
      </c>
      <c r="U120" s="39">
        <v>1000</v>
      </c>
      <c r="V120" s="40">
        <f>IF(H120="x",75+U120,IF(M120&lt;6.66,150+U120,-1.7384*M120^2+92.38*M120-388+U120))</f>
        <v>1239.7824</v>
      </c>
      <c r="W120" s="5"/>
      <c r="X120" s="5"/>
      <c r="Y120" s="5"/>
      <c r="Z120" s="5"/>
      <c r="AA120" s="5"/>
      <c r="AB120" s="5"/>
      <c r="AC120" s="5">
        <v>10.5</v>
      </c>
      <c r="AD120" s="33">
        <v>28</v>
      </c>
      <c r="AE120" s="5">
        <f>IF(AD120=0,(W120+4*X120+2*Y120+4*Z120+AA120)*AC120/12+W120*AB120/1.5,AD120)</f>
        <v>28</v>
      </c>
      <c r="AF120" s="11">
        <v>11</v>
      </c>
      <c r="AG120" s="11">
        <v>0.503</v>
      </c>
      <c r="AH120" s="5">
        <f>IF(AC120=0,AE120+AF120*AG120/2,AE120+AC120*AG120/2)</f>
        <v>30.64075</v>
      </c>
      <c r="AI120" s="3"/>
      <c r="AJ120" s="3"/>
      <c r="AK120" s="33">
        <v>14</v>
      </c>
      <c r="AL120" s="5">
        <f>IF(AK120=0,AI120*AJ120/2,AK120)</f>
        <v>14</v>
      </c>
      <c r="AM120" s="3"/>
      <c r="AN120" s="5"/>
      <c r="AO120" s="5"/>
      <c r="AP120" s="5">
        <f>AL120+AI120*(AN120-AO120)/2</f>
        <v>14</v>
      </c>
      <c r="AQ120" s="5">
        <f>0.1*(AE120+AL120)</f>
        <v>4.2</v>
      </c>
      <c r="AR120" s="11">
        <v>11</v>
      </c>
      <c r="AS120" s="11"/>
      <c r="AT120" s="11"/>
      <c r="AU120" s="11"/>
      <c r="AV120" s="33"/>
      <c r="AW120" s="5">
        <f>IF(AV120=0,AS120/6*(AT120+AU120*4),AV120)</f>
        <v>0</v>
      </c>
      <c r="AX120" s="11">
        <v>0</v>
      </c>
      <c r="AY120" s="5">
        <f>IF(AX120&lt;0.149*M120+0.329,1,AX120/(0.149*M120+0.329))</f>
        <v>1</v>
      </c>
      <c r="AZ120" s="5">
        <f>IF(AW120*AY120&gt;AL120,(AW120*AY120-AL120)/4,0)</f>
        <v>0</v>
      </c>
      <c r="BA120" s="12">
        <f>0.401+0.1831*(2*AR120^2/(AH120+AP120+AZ120))-0.02016*(2*AR120^2/(AH120+AP120+AZ120))^2+0.0007472*(2*AR120^2/(AH120+AP120+AZ120))^3</f>
        <v>0.9201751320060338</v>
      </c>
      <c r="BB120" s="3"/>
      <c r="BC120" s="3"/>
      <c r="BD120" s="3"/>
      <c r="BE120" s="3"/>
      <c r="BF120" s="33">
        <v>55</v>
      </c>
      <c r="BG120" s="5">
        <f>IF(BF120=0,(BC120+BD120)*(BB120/12+BE120/3),BF120)</f>
        <v>55</v>
      </c>
      <c r="BH120" s="5">
        <f>IF(BG120*AY120&gt;AL120+AZ120,BG120*AY120-AL120-AZ120,0)</f>
        <v>41</v>
      </c>
      <c r="BI120" s="5">
        <f>IF(M120/1.6&lt;8,ROUND(M120/1.6,0),8)</f>
        <v>5</v>
      </c>
      <c r="BJ120" s="5">
        <f>(AH120+AP120+AZ120)*BA120+0.1*BH120</f>
        <v>45.17730802409835</v>
      </c>
      <c r="BK120" s="11">
        <v>1.22</v>
      </c>
      <c r="BL120" s="5">
        <f>M120*0.2</f>
        <v>1.6</v>
      </c>
      <c r="BM120" s="5">
        <f>ROUNDDOWN(M120/2.13,0)</f>
        <v>3</v>
      </c>
      <c r="BN120" s="12">
        <f>M120/4.26</f>
        <v>1.877934272300469</v>
      </c>
      <c r="BO120" s="5">
        <f>IF(M120&lt;8,1.22,IF(M120&lt;15.2,0.108333*M120+0.353,2))</f>
        <v>1.219664</v>
      </c>
      <c r="BP120" s="12">
        <f>IF(BK120&lt;BO120,1+0.3*(BO120-BK120)/M120,1)</f>
        <v>1</v>
      </c>
      <c r="BQ120" s="39">
        <v>6</v>
      </c>
      <c r="BR120" s="39">
        <v>0</v>
      </c>
      <c r="BS120" t="s" s="24">
        <v>154</v>
      </c>
      <c r="BT120" s="36"/>
      <c r="BU120" s="36"/>
      <c r="BV120" s="5">
        <f>IF(BQ120&lt;(M120/0.3048)^0.5,1,IF(BU120="x",1-BR120*0.02,IF(BT120="x",1-BR120*0.01,1)))</f>
        <v>1</v>
      </c>
      <c r="BW120" s="12">
        <f>IF(K120="x",MIN(1.315,1.28+U120*N120/BJ120/AR120/1100),IF(L120="x",1.28,MAX(1.245,1.28-U120*N120/BJ120/AR120/1100)))</f>
        <v>1.265365285057695</v>
      </c>
      <c r="BX120" s="41">
        <f>BW120*T120*BV120*BP120*N120^0.3*BJ120^0.4/V120^0.325</f>
        <v>1.080131231356391</v>
      </c>
      <c r="BY120" s="29"/>
      <c r="BZ120" s="29"/>
      <c r="CA120" t="s" s="19">
        <v>162</v>
      </c>
      <c r="CB120" t="s" s="19">
        <v>370</v>
      </c>
      <c r="CC120" t="s" s="19">
        <v>180</v>
      </c>
      <c r="CD120" s="3"/>
      <c r="CE120" s="3"/>
      <c r="CF120" s="3"/>
      <c r="CG120" t="s" s="30">
        <f>A120</f>
        <v>879</v>
      </c>
    </row>
    <row r="121" ht="12.75" customHeight="1">
      <c r="A121" t="s" s="25">
        <v>880</v>
      </c>
      <c r="B121" t="s" s="19">
        <v>881</v>
      </c>
      <c r="C121" t="s" s="19">
        <v>882</v>
      </c>
      <c r="D121" t="s" s="19">
        <v>151</v>
      </c>
      <c r="E121" t="s" s="19">
        <v>883</v>
      </c>
      <c r="F121" t="s" s="19">
        <v>884</v>
      </c>
      <c r="G121" t="s" s="19">
        <v>885</v>
      </c>
      <c r="H121" s="32"/>
      <c r="I121" s="32"/>
      <c r="J121" s="36"/>
      <c r="K121" t="s" s="24">
        <v>154</v>
      </c>
      <c r="L121" s="36"/>
      <c r="M121" s="11">
        <v>6.13</v>
      </c>
      <c r="N121" s="5">
        <v>6.13</v>
      </c>
      <c r="O121" s="11">
        <v>3.88</v>
      </c>
      <c r="P121" s="11"/>
      <c r="Q121" s="37">
        <v>1.1</v>
      </c>
      <c r="R121" s="36"/>
      <c r="S121" s="36"/>
      <c r="T121" s="38">
        <f>IF(S121&gt;0,1.048,IF(R121&gt;0,1.048,IF(Q121&gt;0,1.036,0.907+1.55*(P121/N121)-4.449*(P121/N121)^2)))</f>
        <v>1.036</v>
      </c>
      <c r="U121" s="39">
        <v>400</v>
      </c>
      <c r="V121" s="40">
        <f>IF(H121="x",75+U121,IF(M121&lt;6.66,150+U121,-1.7384*M121^2+92.38*M121-388+U121))</f>
        <v>550</v>
      </c>
      <c r="W121" s="5"/>
      <c r="X121" s="5"/>
      <c r="Y121" s="5"/>
      <c r="Z121" s="5"/>
      <c r="AA121" s="5"/>
      <c r="AB121" s="5"/>
      <c r="AC121" s="5"/>
      <c r="AD121" s="33">
        <v>16.5</v>
      </c>
      <c r="AE121" s="5">
        <f>IF(AD121=0,(W121+4*X121+2*Y121+4*Z121+AA121)*AC121/12+W121*AB121/1.5,AD121)</f>
        <v>16.5</v>
      </c>
      <c r="AF121" s="11">
        <v>7.5</v>
      </c>
      <c r="AG121" s="11"/>
      <c r="AH121" s="5">
        <f>IF(AC121=0,AE121+AF121*AG121/2,AE121+AC121*AG121/2)</f>
        <v>16.5</v>
      </c>
      <c r="AI121" s="3"/>
      <c r="AJ121" s="3"/>
      <c r="AK121" s="33">
        <v>6.5</v>
      </c>
      <c r="AL121" s="5">
        <f>IF(AK121=0,AI121*AJ121/2,AK121)</f>
        <v>6.5</v>
      </c>
      <c r="AM121" t="s" s="19">
        <v>154</v>
      </c>
      <c r="AN121" s="5"/>
      <c r="AO121" s="5"/>
      <c r="AP121" s="5">
        <f>AL121+AI121*(AN121-AO121)/2</f>
        <v>6.5</v>
      </c>
      <c r="AQ121" s="5">
        <f>0.1*(AE121+AL121)</f>
        <v>2.3</v>
      </c>
      <c r="AR121" s="11">
        <v>7.5</v>
      </c>
      <c r="AS121" s="11"/>
      <c r="AT121" s="11"/>
      <c r="AU121" s="11"/>
      <c r="AV121" s="33">
        <v>24</v>
      </c>
      <c r="AW121" s="5">
        <f>IF(AV121=0,AS121/6*(AT121+AU121*4),AV121)</f>
        <v>24</v>
      </c>
      <c r="AX121" s="11">
        <v>0.5</v>
      </c>
      <c r="AY121" s="5">
        <f>IF(AX121&lt;0.149*M121+0.329,1,AX121/(0.149*M121+0.329))</f>
        <v>1</v>
      </c>
      <c r="AZ121" s="5">
        <f>IF(AW121*AY121&gt;AL121,(AW121*AY121-AL121)/4,0)</f>
        <v>4.375</v>
      </c>
      <c r="BA121" s="12">
        <f>0.401+0.1831*(2*AR121^2/(AH121+AP121+AZ121))-0.02016*(2*AR121^2/(AH121+AP121+AZ121))^2+0.0007472*(2*AR121^2/(AH121+AP121+AZ121))^3</f>
        <v>0.8648490605809002</v>
      </c>
      <c r="BB121" s="3"/>
      <c r="BC121" s="3"/>
      <c r="BD121" s="3"/>
      <c r="BE121" s="3"/>
      <c r="BF121" s="33">
        <v>30</v>
      </c>
      <c r="BG121" s="5">
        <f>IF(BF121=0,(BC121+BD121)*(BB121/12+BE121/3),BF121)</f>
        <v>30</v>
      </c>
      <c r="BH121" s="5">
        <f>IF(BG121*AY121&gt;AL121+AZ121,BG121*AY121-AL121-AZ121,0)</f>
        <v>19.125</v>
      </c>
      <c r="BI121" s="5">
        <f>IF(M121/1.6&lt;8,ROUND(M121/1.6,0),8)</f>
        <v>4</v>
      </c>
      <c r="BJ121" s="5">
        <f>(AH121+AP121+AZ121)*BA121+0.1*BH121</f>
        <v>25.58774303340214</v>
      </c>
      <c r="BK121" s="11">
        <v>1.3</v>
      </c>
      <c r="BL121" s="5">
        <f>M121*0.2</f>
        <v>1.226</v>
      </c>
      <c r="BM121" s="5">
        <f>ROUNDDOWN(M121/2.13,0)</f>
        <v>2</v>
      </c>
      <c r="BN121" s="12">
        <f>M121/4.26</f>
        <v>1.438967136150235</v>
      </c>
      <c r="BO121" s="5">
        <f>IF(M121&lt;8,1.22,IF(M121&lt;15.2,0.108333*M121+0.353,2))</f>
        <v>1.22</v>
      </c>
      <c r="BP121" s="12">
        <f>IF(BK121&lt;BO121,1+0.3*(BO121-BK121)/M121,1)</f>
        <v>1</v>
      </c>
      <c r="BQ121" s="39">
        <v>5</v>
      </c>
      <c r="BR121" s="39">
        <v>0</v>
      </c>
      <c r="BS121" t="s" s="24">
        <v>154</v>
      </c>
      <c r="BT121" s="36"/>
      <c r="BU121" s="36"/>
      <c r="BV121" s="5">
        <f>IF(BQ121&lt;(M121/0.3048)^0.5,1,IF(BU121="x",1-BR121*0.02,IF(BT121="x",1-BR121*0.01,1)))</f>
        <v>1</v>
      </c>
      <c r="BW121" s="12">
        <f>IF(K121="x",MIN(1.315,1.28+U121*N121/BJ121/AR121/1100),IF(L121="x",1.28,MAX(1.245,1.28-U121*N121/BJ121/AR121/1100)))</f>
        <v>1.291615409800862</v>
      </c>
      <c r="BX121" s="41">
        <f>BW121*T121*BV121*BP121*N121^0.3*BJ121^0.4/V121^0.325</f>
        <v>1.084740945570662</v>
      </c>
      <c r="BY121" s="29"/>
      <c r="BZ121" s="29"/>
      <c r="CA121" t="s" s="19">
        <v>188</v>
      </c>
      <c r="CB121" s="42">
        <v>2008</v>
      </c>
      <c r="CC121" t="s" s="19">
        <v>180</v>
      </c>
      <c r="CD121" t="s" s="19">
        <v>886</v>
      </c>
      <c r="CE121" s="3"/>
      <c r="CF121" s="3"/>
      <c r="CG121" t="s" s="30">
        <f>A121</f>
        <v>887</v>
      </c>
    </row>
    <row r="122" ht="12.75" customHeight="1">
      <c r="A122" t="s" s="25">
        <v>888</v>
      </c>
      <c r="B122" t="s" s="19">
        <v>889</v>
      </c>
      <c r="C122" t="s" s="19">
        <v>890</v>
      </c>
      <c r="D122" t="s" s="19">
        <v>891</v>
      </c>
      <c r="E122" t="s" s="19">
        <v>892</v>
      </c>
      <c r="F122" t="s" s="19">
        <v>893</v>
      </c>
      <c r="G122" t="s" s="19">
        <v>894</v>
      </c>
      <c r="H122" s="32"/>
      <c r="I122" s="32"/>
      <c r="J122" t="s" s="24">
        <v>154</v>
      </c>
      <c r="K122" s="36"/>
      <c r="L122" s="36"/>
      <c r="M122" s="11">
        <v>9.800000000000001</v>
      </c>
      <c r="N122" s="5">
        <v>9.800000000000001</v>
      </c>
      <c r="O122" s="11">
        <v>6</v>
      </c>
      <c r="P122" s="11"/>
      <c r="Q122" s="37"/>
      <c r="R122" t="s" s="24">
        <v>895</v>
      </c>
      <c r="S122" s="36"/>
      <c r="T122" s="38">
        <f>IF(S122&gt;0,1.048,IF(R122&gt;0,1.048,IF(Q122&gt;0,1.036,0.907+1.55*(P122/N122)-4.449*(P122/N122)^2)))</f>
        <v>1.048</v>
      </c>
      <c r="U122" s="39">
        <v>2050</v>
      </c>
      <c r="V122" s="40">
        <f>IF(H122="x",75+U122,IF(M122&lt;6.66,150+U122,-1.7384*M122^2+92.38*M122-388+U122))</f>
        <v>2400.368064</v>
      </c>
      <c r="W122" s="5"/>
      <c r="X122" s="5"/>
      <c r="Y122" s="5"/>
      <c r="Z122" s="5"/>
      <c r="AA122" s="5"/>
      <c r="AB122" s="5"/>
      <c r="AC122" s="5">
        <v>12.7</v>
      </c>
      <c r="AD122" s="33">
        <v>38</v>
      </c>
      <c r="AE122" s="5">
        <f>IF(AD122=0,(W122+4*X122+2*Y122+4*Z122+AA122)*AC122/12+W122*AB122/1.5,AD122)</f>
        <v>38</v>
      </c>
      <c r="AF122" s="11">
        <v>14</v>
      </c>
      <c r="AG122" s="11"/>
      <c r="AH122" s="5">
        <f>IF(AC122=0,AE122+AF122*AG122/2,AE122+AC122*AG122/2)</f>
        <v>38</v>
      </c>
      <c r="AI122" s="5">
        <v>12.3</v>
      </c>
      <c r="AJ122" s="3"/>
      <c r="AK122" s="33">
        <v>16</v>
      </c>
      <c r="AL122" s="5">
        <f>IF(AK122=0,AI122*AJ122/2,AK122)</f>
        <v>16</v>
      </c>
      <c r="AM122" s="3"/>
      <c r="AN122" s="5"/>
      <c r="AO122" s="5">
        <v>0.1</v>
      </c>
      <c r="AP122" s="5">
        <f>AL122+AI122*(AN122-AO122)/2</f>
        <v>15.385</v>
      </c>
      <c r="AQ122" s="5">
        <f>0.1*(AE122+AL122)</f>
        <v>5.4</v>
      </c>
      <c r="AR122" s="11">
        <v>13</v>
      </c>
      <c r="AS122" s="11"/>
      <c r="AT122" s="11"/>
      <c r="AU122" s="11"/>
      <c r="AV122" s="33">
        <v>40</v>
      </c>
      <c r="AW122" s="5">
        <f>IF(AV122=0,AS122/6*(AT122+AU122*4),AV122)</f>
        <v>40</v>
      </c>
      <c r="AX122" s="11">
        <v>0.95</v>
      </c>
      <c r="AY122" s="5">
        <f>IF(AX122&lt;0.149*M122+0.329,1,AX122/(0.149*M122+0.329))</f>
        <v>1</v>
      </c>
      <c r="AZ122" s="5">
        <f>IF(AW122*AY122&gt;AL122,(AW122*AY122-AL122)/4,0)</f>
        <v>6</v>
      </c>
      <c r="BA122" s="12">
        <f>0.401+0.1831*(2*AR122^2/(AH122+AP122+AZ122))-0.02016*(2*AR122^2/(AH122+AP122+AZ122))^2+0.0007472*(2*AR122^2/(AH122+AP122+AZ122))^3</f>
        <v>0.92782991556157</v>
      </c>
      <c r="BB122" s="3"/>
      <c r="BC122" s="3"/>
      <c r="BD122" s="3"/>
      <c r="BE122" s="3"/>
      <c r="BF122" s="33">
        <v>68</v>
      </c>
      <c r="BG122" s="5">
        <f>IF(BF122=0,(BC122+BD122)*(BB122/12+BE122/3),BF122)</f>
        <v>68</v>
      </c>
      <c r="BH122" s="5">
        <f>IF(BG122*AY122&gt;AL122+AZ122,BG122*AY122-AL122-AZ122,0)</f>
        <v>46</v>
      </c>
      <c r="BI122" s="5">
        <f>IF(M122/1.6&lt;8,ROUND(M122/1.6,0),8)</f>
        <v>6</v>
      </c>
      <c r="BJ122" s="5">
        <f>(AH122+AP122+AZ122)*BA122+0.1*BH122</f>
        <v>59.69917953562383</v>
      </c>
      <c r="BK122" s="11">
        <v>1.85</v>
      </c>
      <c r="BL122" s="5">
        <f>M122*0.2</f>
        <v>1.96</v>
      </c>
      <c r="BM122" s="5">
        <f>ROUNDDOWN(M122/2.13,0)</f>
        <v>4</v>
      </c>
      <c r="BN122" s="12">
        <f>M122/4.26</f>
        <v>2.300469483568075</v>
      </c>
      <c r="BO122" s="5">
        <f>IF(M122&lt;8,1.22,IF(M122&lt;15.2,0.108333*M122+0.353,2))</f>
        <v>1.4146634</v>
      </c>
      <c r="BP122" s="12">
        <f>IF(BK122&lt;BO122,1+0.3*(BO122-BK122)/M122,1)</f>
        <v>1</v>
      </c>
      <c r="BQ122" s="39">
        <v>7</v>
      </c>
      <c r="BR122" s="39">
        <v>1</v>
      </c>
      <c r="BS122" t="s" s="24">
        <v>154</v>
      </c>
      <c r="BT122" s="36"/>
      <c r="BU122" s="36"/>
      <c r="BV122" s="5">
        <f>IF(BQ122&lt;(M122/0.3048)^0.5,1,IF(BU122="x",1-BR122*0.02,IF(BT122="x",1-BR122*0.01,1)))</f>
        <v>1</v>
      </c>
      <c r="BW122" s="12">
        <f>IF(K122="x",MIN(1.315,1.28+U122*N122/BJ122/AR122/1100),IF(L122="x",1.28,MAX(1.245,1.28-U122*N122/BJ122/AR122/1100)))</f>
        <v>1.256467095262896</v>
      </c>
      <c r="BX122" s="41">
        <f>BW122*T122*BV122*BP122*N122^0.3*BJ122^0.4/V122^0.325</f>
        <v>1.068260750376759</v>
      </c>
      <c r="BY122" s="29"/>
      <c r="BZ122" s="29"/>
      <c r="CA122" s="3"/>
      <c r="CB122" s="3"/>
      <c r="CC122" s="3"/>
      <c r="CD122" s="3"/>
      <c r="CE122" s="3"/>
      <c r="CF122" s="3"/>
      <c r="CG122" t="s" s="30">
        <f>A122</f>
        <v>896</v>
      </c>
    </row>
    <row r="123" ht="12.75" customHeight="1">
      <c r="A123" t="s" s="25">
        <v>897</v>
      </c>
      <c r="B123" t="s" s="19">
        <v>898</v>
      </c>
      <c r="C123" t="s" s="19">
        <v>899</v>
      </c>
      <c r="D123" t="s" s="19">
        <v>900</v>
      </c>
      <c r="E123" t="s" s="19">
        <v>901</v>
      </c>
      <c r="F123" t="s" s="19">
        <v>902</v>
      </c>
      <c r="G123" s="42">
        <v>38</v>
      </c>
      <c r="H123" s="32"/>
      <c r="I123" s="32"/>
      <c r="J123" s="36"/>
      <c r="K123" t="s" s="24">
        <v>154</v>
      </c>
      <c r="L123" s="36"/>
      <c r="M123" s="11">
        <v>6.72</v>
      </c>
      <c r="N123" s="5">
        <v>6.67</v>
      </c>
      <c r="O123" s="11">
        <v>4.8</v>
      </c>
      <c r="P123" s="11"/>
      <c r="Q123" t="s" s="24">
        <v>903</v>
      </c>
      <c r="R123" s="36"/>
      <c r="S123" s="36"/>
      <c r="T123" s="38">
        <f>IF(S123&gt;0,1.048,IF(R123&gt;0,1.048,IF(Q123&gt;0,1.036,0.907+1.55*(P123/N123)-4.449*(P123/N123)^2)))</f>
        <v>1.036</v>
      </c>
      <c r="U123" s="39">
        <v>465</v>
      </c>
      <c r="V123" s="40">
        <f>IF(H123="x",75+U123,IF(M123&lt;6.66,150+U123,-1.7384*M123^2+92.38*M123-388+U123))</f>
        <v>619.2902374399999</v>
      </c>
      <c r="W123" s="5"/>
      <c r="X123" s="5"/>
      <c r="Y123" s="5"/>
      <c r="Z123" s="5"/>
      <c r="AA123" s="5"/>
      <c r="AB123" s="5"/>
      <c r="AC123" s="5">
        <v>9.140000000000001</v>
      </c>
      <c r="AD123" s="33">
        <v>20.48</v>
      </c>
      <c r="AE123" s="5">
        <f>IF(AD123=0,(W123+4*X123+2*Y123+4*Z123+AA123)*AC123/12+W123*AB123/1.5,AD123)</f>
        <v>20.48</v>
      </c>
      <c r="AF123" s="11">
        <v>10</v>
      </c>
      <c r="AG123" s="11">
        <v>0.37</v>
      </c>
      <c r="AH123" s="5">
        <f>IF(AC123=0,AE123+AF123*AG123/2,AE123+AC123*AG123/2)</f>
        <v>22.1709</v>
      </c>
      <c r="AI123" s="5">
        <v>8.5</v>
      </c>
      <c r="AJ123" s="3"/>
      <c r="AK123" s="33">
        <v>8.42</v>
      </c>
      <c r="AL123" s="5">
        <f>IF(AK123=0,AI123*AJ123/2,AK123)</f>
        <v>8.42</v>
      </c>
      <c r="AM123" t="s" s="19">
        <v>154</v>
      </c>
      <c r="AN123" s="5"/>
      <c r="AO123" s="5"/>
      <c r="AP123" s="5">
        <f>AL123+AI123*(AN123-AO123)/2</f>
        <v>8.42</v>
      </c>
      <c r="AQ123" s="5">
        <f>0.1*(AE123+AL123)</f>
        <v>2.89</v>
      </c>
      <c r="AR123" s="11">
        <v>10.04</v>
      </c>
      <c r="AS123" s="11"/>
      <c r="AT123" s="11"/>
      <c r="AU123" s="11"/>
      <c r="AV123" s="33">
        <v>20.3</v>
      </c>
      <c r="AW123" s="5">
        <f>IF(AV123=0,AS123/6*(AT123+AU123*4),AV123)</f>
        <v>20.3</v>
      </c>
      <c r="AX123" s="11">
        <v>0</v>
      </c>
      <c r="AY123" s="5">
        <f>IF(AX123&lt;0.149*M123+0.329,1,AX123/(0.149*M123+0.329))</f>
        <v>1</v>
      </c>
      <c r="AZ123" s="5">
        <f>IF(AW123*AY123&gt;AL123,(AW123*AY123-AL123)/4,0)</f>
        <v>2.97</v>
      </c>
      <c r="BA123" s="12">
        <f>0.401+0.1831*(2*AR123^2/(AH123+AP123+AZ123))-0.02016*(2*AR123^2/(AH123+AP123+AZ123))^2+0.0007472*(2*AR123^2/(AH123+AP123+AZ123))^3</f>
        <v>0.9353898798635334</v>
      </c>
      <c r="BB123" s="3"/>
      <c r="BC123" s="3"/>
      <c r="BD123" s="3"/>
      <c r="BE123" s="3"/>
      <c r="BF123" s="33"/>
      <c r="BG123" s="5">
        <f>IF(BF123=0,(BC123+BD123)*(BB123/12+BE123/3),BF123)</f>
        <v>0</v>
      </c>
      <c r="BH123" s="5">
        <f>IF(BG123*AY123&gt;AL123+AZ123,BG123*AY123-AL123-AZ123,0)</f>
        <v>0</v>
      </c>
      <c r="BI123" s="5">
        <f>IF(M123/1.6&lt;8,ROUND(M123/1.6,0),8)</f>
        <v>4</v>
      </c>
      <c r="BJ123" s="5">
        <f>(AH123+AP123+AZ123)*BA123+0.1*BH123</f>
        <v>31.39252621911205</v>
      </c>
      <c r="BK123" s="11">
        <v>1.02</v>
      </c>
      <c r="BL123" s="5">
        <f>M123*0.2</f>
        <v>1.344</v>
      </c>
      <c r="BM123" s="5">
        <f>ROUNDDOWN(M123/2.13,0)</f>
        <v>3</v>
      </c>
      <c r="BN123" s="12">
        <f>M123/4.26</f>
        <v>1.577464788732394</v>
      </c>
      <c r="BO123" s="5">
        <f>IF(M123&lt;8,1.22,IF(M123&lt;15.2,0.108333*M123+0.353,2))</f>
        <v>1.22</v>
      </c>
      <c r="BP123" s="12">
        <f>IF(BK123&lt;BO123,1+0.3*(BO123-BK123)/M123,1)</f>
        <v>1.008928571428571</v>
      </c>
      <c r="BQ123" s="32"/>
      <c r="BR123" s="32"/>
      <c r="BS123" t="s" s="24">
        <v>154</v>
      </c>
      <c r="BT123" s="36"/>
      <c r="BU123" s="36"/>
      <c r="BV123" s="5">
        <f>IF(BQ123&lt;(M123/0.3048)^0.5,1,IF(BU123="x",1-BR123*0.02,IF(BT123="x",1-BR123*0.01,1)))</f>
        <v>1</v>
      </c>
      <c r="BW123" s="12">
        <f>IF(K123="x",MIN(1.315,1.28+U123*N123/BJ123/AR123/1100),IF(L123="x",1.28,MAX(1.245,1.28-U123*N123/BJ123/AR123/1100)))</f>
        <v>1.288945942927857</v>
      </c>
      <c r="BX123" s="41">
        <f>BW123*T123*BV123*BP123*N123^0.3*BJ123^0.4/V123^0.325</f>
        <v>1.169654269795939</v>
      </c>
      <c r="BY123" s="29"/>
      <c r="BZ123" s="29"/>
      <c r="CA123" t="s" s="19">
        <v>188</v>
      </c>
      <c r="CB123" t="s" s="19">
        <v>904</v>
      </c>
      <c r="CC123" t="s" s="19">
        <v>905</v>
      </c>
      <c r="CD123" s="3"/>
      <c r="CE123" s="3"/>
      <c r="CF123" s="3"/>
      <c r="CG123" t="s" s="30">
        <f>A123</f>
        <v>906</v>
      </c>
    </row>
    <row r="124" ht="12.75" customHeight="1">
      <c r="A124" t="s" s="25">
        <v>907</v>
      </c>
      <c r="B124" t="s" s="19">
        <v>663</v>
      </c>
      <c r="C124" t="s" s="19">
        <v>304</v>
      </c>
      <c r="D124" t="s" s="19">
        <v>305</v>
      </c>
      <c r="E124" t="s" s="19">
        <v>908</v>
      </c>
      <c r="F124" s="3"/>
      <c r="G124" s="3"/>
      <c r="H124" s="32"/>
      <c r="I124" s="32"/>
      <c r="J124" t="s" s="24">
        <v>154</v>
      </c>
      <c r="K124" s="36"/>
      <c r="L124" s="36"/>
      <c r="M124" s="11">
        <v>10.6</v>
      </c>
      <c r="N124" s="5">
        <v>10.6</v>
      </c>
      <c r="O124" s="11">
        <v>5.85</v>
      </c>
      <c r="P124" s="11">
        <v>0.95</v>
      </c>
      <c r="Q124" s="37"/>
      <c r="R124" s="36"/>
      <c r="S124" s="36"/>
      <c r="T124" s="38">
        <f>IF(S124&gt;0,1.048,IF(R124&gt;0,1.048,IF(Q124&gt;0,1.036,0.907+1.55*(P124/N124)-4.449*(P124/N124)^2)))</f>
        <v>1.010179757030972</v>
      </c>
      <c r="U124" s="39">
        <v>4800</v>
      </c>
      <c r="V124" s="40">
        <f>IF(H124="x",75+U124,IF(M124&lt;6.66,150+U124,-1.7384*M124^2+92.38*M124-388+U124))</f>
        <v>5195.901376</v>
      </c>
      <c r="W124" s="5"/>
      <c r="X124" s="5"/>
      <c r="Y124" s="5"/>
      <c r="Z124" s="5"/>
      <c r="AA124" s="5"/>
      <c r="AB124" s="5"/>
      <c r="AC124" s="5"/>
      <c r="AD124" s="33">
        <v>40</v>
      </c>
      <c r="AE124" s="5">
        <f>IF(AD124=0,(W124+4*X124+2*Y124+4*Z124+AA124)*AC124/12+W124*AB124/1.5,AD124)</f>
        <v>40</v>
      </c>
      <c r="AF124" s="11"/>
      <c r="AG124" s="11"/>
      <c r="AH124" s="5">
        <f>IF(AC124=0,AE124+AF124*AG124/2,AE124+AC124*AG124/2)</f>
        <v>40</v>
      </c>
      <c r="AI124" s="3"/>
      <c r="AJ124" s="3"/>
      <c r="AK124" s="33">
        <v>28</v>
      </c>
      <c r="AL124" s="5">
        <f>IF(AK124=0,AI124*AJ124/2,AK124)</f>
        <v>28</v>
      </c>
      <c r="AM124" s="3"/>
      <c r="AN124" s="5"/>
      <c r="AO124" s="5"/>
      <c r="AP124" s="5">
        <f>AL124+AI124*(AN124-AO124)/2</f>
        <v>28</v>
      </c>
      <c r="AQ124" s="5">
        <f>0.1*(AE124+AL124)</f>
        <v>6.800000000000001</v>
      </c>
      <c r="AR124" s="11">
        <v>14.03</v>
      </c>
      <c r="AS124" s="11"/>
      <c r="AT124" s="11"/>
      <c r="AU124" s="11"/>
      <c r="AV124" s="33"/>
      <c r="AW124" s="5">
        <f>IF(AV124=0,AS124/6*(AT124+AU124*4),AV124)</f>
        <v>0</v>
      </c>
      <c r="AX124" s="11">
        <v>0</v>
      </c>
      <c r="AY124" s="5">
        <f>IF(AX124&lt;0.149*M124+0.329,1,AX124/(0.149*M124+0.329))</f>
        <v>1</v>
      </c>
      <c r="AZ124" s="5">
        <f>IF(AW124*AY124&gt;AL124,(AW124*AY124-AL124)/4,0)</f>
        <v>0</v>
      </c>
      <c r="BA124" s="12">
        <f>0.401+0.1831*(2*AR124^2/(AH124+AP124+AZ124))-0.02016*(2*AR124^2/(AH124+AP124+AZ124))^2+0.0007472*(2*AR124^2/(AH124+AP124+AZ124))^3</f>
        <v>0.930324124418245</v>
      </c>
      <c r="BB124" s="3"/>
      <c r="BC124" s="3"/>
      <c r="BD124" s="3"/>
      <c r="BE124" s="3"/>
      <c r="BF124" s="33">
        <v>76</v>
      </c>
      <c r="BG124" s="5">
        <f>IF(BF124=0,(BC124+BD124)*(BB124/12+BE124/3),BF124)</f>
        <v>76</v>
      </c>
      <c r="BH124" s="5">
        <f>IF(BG124*AY124&gt;AL124+AZ124,BG124*AY124-AL124-AZ124,0)</f>
        <v>48</v>
      </c>
      <c r="BI124" s="5">
        <f>IF(M124/1.6&lt;8,ROUND(M124/1.6,0),8)</f>
        <v>7</v>
      </c>
      <c r="BJ124" s="5">
        <f>(AH124+AP124+AZ124)*BA124+0.1*BH124</f>
        <v>68.06204046044066</v>
      </c>
      <c r="BK124" s="11">
        <v>1.9</v>
      </c>
      <c r="BL124" s="5">
        <f>M124*0.2</f>
        <v>2.12</v>
      </c>
      <c r="BM124" s="5">
        <f>ROUNDDOWN(M124/2.13,0)</f>
        <v>4</v>
      </c>
      <c r="BN124" s="12">
        <f>M124/4.26</f>
        <v>2.488262910798122</v>
      </c>
      <c r="BO124" s="5">
        <f>IF(M124&lt;8,1.22,IF(M124&lt;15.2,0.108333*M124+0.353,2))</f>
        <v>1.5013298</v>
      </c>
      <c r="BP124" s="12">
        <f>IF(BK124&lt;BO124,1+0.3*(BO124-BK124)/M124,1)</f>
        <v>1</v>
      </c>
      <c r="BQ124" s="39">
        <v>8</v>
      </c>
      <c r="BR124" s="39">
        <v>2</v>
      </c>
      <c r="BS124" s="36"/>
      <c r="BT124" s="36"/>
      <c r="BU124" t="s" s="24">
        <v>154</v>
      </c>
      <c r="BV124" s="5">
        <f>IF(BQ124&lt;(M124/0.3048)^0.5,1,IF(BU124="x",1-BR124*0.02,IF(BT124="x",1-BR124*0.01,1)))</f>
        <v>0.96</v>
      </c>
      <c r="BW124" s="12">
        <f>IF(K124="x",MIN(1.315,1.28+U124*N124/BJ124/AR124/1100),IF(L124="x",1.28,MAX(1.245,1.28-U124*N124/BJ124/AR124/1100)))</f>
        <v>1.245</v>
      </c>
      <c r="BX124" s="41">
        <f>BW124*T124*BV124*BP124*N124^0.3*BJ124^0.4/V124^0.325</f>
        <v>0.8222487070282091</v>
      </c>
      <c r="BY124" s="29"/>
      <c r="BZ124" s="29"/>
      <c r="CA124" t="s" s="19">
        <v>213</v>
      </c>
      <c r="CB124" t="s" s="19">
        <v>430</v>
      </c>
      <c r="CC124" t="s" s="19">
        <v>180</v>
      </c>
      <c r="CD124" s="3"/>
      <c r="CE124" s="3"/>
      <c r="CF124" s="3"/>
      <c r="CG124" t="s" s="30">
        <f>A124</f>
        <v>909</v>
      </c>
    </row>
    <row r="125" ht="12.75" customHeight="1">
      <c r="A125" t="s" s="25">
        <v>910</v>
      </c>
      <c r="B125" t="s" s="19">
        <v>911</v>
      </c>
      <c r="C125" t="s" s="19">
        <v>193</v>
      </c>
      <c r="D125" t="s" s="19">
        <v>193</v>
      </c>
      <c r="E125" t="s" s="19">
        <v>912</v>
      </c>
      <c r="F125" s="3"/>
      <c r="G125" s="42">
        <v>61</v>
      </c>
      <c r="H125" s="32"/>
      <c r="I125" s="32"/>
      <c r="J125" s="36"/>
      <c r="K125" t="s" s="24">
        <v>154</v>
      </c>
      <c r="L125" s="36"/>
      <c r="M125" s="11">
        <v>7.89</v>
      </c>
      <c r="N125" s="5">
        <v>7.89</v>
      </c>
      <c r="O125" s="11"/>
      <c r="P125" s="11"/>
      <c r="Q125" s="37"/>
      <c r="R125" t="s" s="24">
        <v>913</v>
      </c>
      <c r="S125" s="36"/>
      <c r="T125" s="38">
        <f>IF(S125&gt;0,1.048,IF(R125&gt;0,1.048,IF(Q125&gt;0,1.036,0.907+1.55*(P125/N125)-4.449*(P125/N125)^2)))</f>
        <v>1.048</v>
      </c>
      <c r="U125" s="39">
        <v>1110</v>
      </c>
      <c r="V125" s="40">
        <f>IF(H125="x",75+U125,IF(M125&lt;6.66,150+U125,-1.7384*M125^2+92.38*M125-388+U125))</f>
        <v>1342.65914936</v>
      </c>
      <c r="W125" s="5">
        <v>2.81</v>
      </c>
      <c r="X125" s="5">
        <v>2.67</v>
      </c>
      <c r="Y125" s="5">
        <v>2.37</v>
      </c>
      <c r="Z125" s="5">
        <v>1.76</v>
      </c>
      <c r="AA125" s="5">
        <v>0.25</v>
      </c>
      <c r="AB125" s="5"/>
      <c r="AC125" s="5">
        <v>10.22</v>
      </c>
      <c r="AD125" s="33"/>
      <c r="AE125" s="5">
        <f>IF(AD125=0,(W125+4*X125+2*Y125+4*Z125+AA125)*AC125/12+W125*AB125/1.5,AD125)</f>
        <v>21.73453333333334</v>
      </c>
      <c r="AF125" s="11">
        <v>11.56</v>
      </c>
      <c r="AG125" s="11">
        <v>0.46</v>
      </c>
      <c r="AH125" s="5">
        <f>IF(AC125=0,AE125+AF125*AG125/2,AE125+AC125*AG125/2)</f>
        <v>24.08513333333334</v>
      </c>
      <c r="AI125" s="5">
        <v>9.31</v>
      </c>
      <c r="AJ125" s="5">
        <v>3.28</v>
      </c>
      <c r="AK125" s="33"/>
      <c r="AL125" s="5">
        <f>IF(AK125=0,AI125*AJ125/2,AK125)</f>
        <v>15.2684</v>
      </c>
      <c r="AM125" s="3"/>
      <c r="AN125" s="5"/>
      <c r="AO125" s="5"/>
      <c r="AP125" s="5">
        <f>AL125+AI125*(AN125-AO125)/2</f>
        <v>15.2684</v>
      </c>
      <c r="AQ125" s="5">
        <f>0.1*(AE125+AL125)</f>
        <v>3.700293333333333</v>
      </c>
      <c r="AR125" s="11">
        <v>11.56</v>
      </c>
      <c r="AS125" s="11"/>
      <c r="AT125" s="11"/>
      <c r="AU125" s="11"/>
      <c r="AV125" s="33"/>
      <c r="AW125" s="5">
        <f>IF(AV125=0,AS125/6*(AT125+AU125*4),AV125)</f>
        <v>0</v>
      </c>
      <c r="AX125" s="11"/>
      <c r="AY125" s="5">
        <f>IF(AX125&lt;0.149*M125+0.329,1,AX125/(0.149*M125+0.329))</f>
        <v>1</v>
      </c>
      <c r="AZ125" s="5">
        <f>IF(AW125*AY125&gt;AL125,(AW125*AY125-AL125)/4,0)</f>
        <v>0</v>
      </c>
      <c r="BA125" s="12">
        <f>0.401+0.1831*(2*AR125^2/(AH125+AP125+AZ125))-0.02016*(2*AR125^2/(AH125+AP125+AZ125))^2+0.0007472*(2*AR125^2/(AH125+AP125+AZ125))^3</f>
        <v>0.948717195369565</v>
      </c>
      <c r="BB125" s="5">
        <v>6.68</v>
      </c>
      <c r="BC125" s="5">
        <v>9.470000000000001</v>
      </c>
      <c r="BD125" s="5">
        <v>9.470000000000001</v>
      </c>
      <c r="BE125" s="5">
        <v>5.72</v>
      </c>
      <c r="BF125" s="33"/>
      <c r="BG125" s="5">
        <f>IF(BF125=0,(BC125+BD125)*(BB125/12+BE125/3),BF125)</f>
        <v>46.65553333333333</v>
      </c>
      <c r="BH125" s="5">
        <f>IF(BG125*AY125&gt;AL125+AZ125,BG125*AY125-AL125-AZ125,0)</f>
        <v>31.38713333333333</v>
      </c>
      <c r="BI125" s="5">
        <f>IF(M125/1.6&lt;8,ROUND(M125/1.6,0),8)</f>
        <v>5</v>
      </c>
      <c r="BJ125" s="5">
        <f>(AH125+AP125+AZ125)*BA125+0.1*BH125</f>
        <v>40.47408710521602</v>
      </c>
      <c r="BK125" s="11">
        <v>1.35</v>
      </c>
      <c r="BL125" s="5">
        <f>M125*0.2</f>
        <v>1.578</v>
      </c>
      <c r="BM125" s="5">
        <f>ROUNDDOWN(M125/2.13,0)</f>
        <v>3</v>
      </c>
      <c r="BN125" s="12">
        <f>M125/4.26</f>
        <v>1.852112676056338</v>
      </c>
      <c r="BO125" s="5">
        <f>IF(M125&lt;8,1.22,IF(M125&lt;15.2,0.108333*M125+0.353,2))</f>
        <v>1.22</v>
      </c>
      <c r="BP125" s="12">
        <f>IF(BK125&lt;BO125,1+0.3*(BO125-BK125)/M125,1)</f>
        <v>1</v>
      </c>
      <c r="BQ125" s="32"/>
      <c r="BR125" s="32"/>
      <c r="BS125" t="s" s="24">
        <v>154</v>
      </c>
      <c r="BT125" s="36"/>
      <c r="BU125" s="36"/>
      <c r="BV125" s="5">
        <f>IF(BQ125&lt;(M125/0.3048)^0.5,1,IF(BU125="x",1-BR125*0.02,IF(BT125="x",1-BR125*0.01,1)))</f>
        <v>1</v>
      </c>
      <c r="BW125" s="12">
        <f>IF(K125="x",MIN(1.315,1.28+U125*N125/BJ125/AR125/1100),IF(L125="x",1.28,MAX(1.245,1.28-U125*N125/BJ125/AR125/1100)))</f>
        <v>1.29701658473839</v>
      </c>
      <c r="BX125" s="41">
        <f>BW125*T125*BV125*BP125*N125^0.3*BJ125^0.4/V125^0.325</f>
        <v>1.06834583370202</v>
      </c>
      <c r="BY125" s="48"/>
      <c r="BZ125" s="29"/>
      <c r="CA125" t="s" s="19">
        <v>253</v>
      </c>
      <c r="CB125" s="42">
        <v>1996</v>
      </c>
      <c r="CC125" t="s" s="19">
        <v>254</v>
      </c>
      <c r="CD125" s="3"/>
      <c r="CE125" s="3"/>
      <c r="CF125" s="3"/>
      <c r="CG125" t="s" s="30">
        <f>A125</f>
        <v>914</v>
      </c>
    </row>
    <row r="126" ht="12.75" customHeight="1">
      <c r="A126" t="s" s="25">
        <v>915</v>
      </c>
      <c r="B126" t="s" s="19">
        <v>606</v>
      </c>
      <c r="C126" t="s" s="19">
        <v>304</v>
      </c>
      <c r="D126" t="s" s="19">
        <v>305</v>
      </c>
      <c r="E126" t="s" s="19">
        <v>916</v>
      </c>
      <c r="F126" s="3"/>
      <c r="G126" s="3"/>
      <c r="H126" s="32"/>
      <c r="I126" s="32"/>
      <c r="J126" t="s" s="24">
        <v>154</v>
      </c>
      <c r="K126" s="36"/>
      <c r="L126" s="36"/>
      <c r="M126" s="11">
        <v>9.9</v>
      </c>
      <c r="N126" s="5">
        <v>9.6</v>
      </c>
      <c r="O126" s="11">
        <v>5.3</v>
      </c>
      <c r="P126" s="11">
        <v>0.9</v>
      </c>
      <c r="Q126" s="37"/>
      <c r="R126" s="36"/>
      <c r="S126" s="36"/>
      <c r="T126" s="38">
        <f>IF(S126&gt;0,1.048,IF(R126&gt;0,1.048,IF(Q126&gt;0,1.036,0.907+1.55*(P126/N126)-4.449*(P126/N126)^2)))</f>
        <v>1.0132099609375</v>
      </c>
      <c r="U126" s="39">
        <v>3000</v>
      </c>
      <c r="V126" s="40">
        <f>IF(H126="x",75+U126,IF(M126&lt;6.66,150+U126,-1.7384*M126^2+92.38*M126-388+U126))</f>
        <v>3356.181416</v>
      </c>
      <c r="W126" s="5"/>
      <c r="X126" s="5"/>
      <c r="Y126" s="5"/>
      <c r="Z126" s="5"/>
      <c r="AA126" s="5"/>
      <c r="AB126" s="5"/>
      <c r="AC126" s="5">
        <v>14.4</v>
      </c>
      <c r="AD126" s="33">
        <v>38</v>
      </c>
      <c r="AE126" s="5">
        <f>IF(AD126=0,(W126+4*X126+2*Y126+4*Z126+AA126)*AC126/12+W126*AB126/1.5,AD126)</f>
        <v>38</v>
      </c>
      <c r="AF126" s="11"/>
      <c r="AG126" s="11"/>
      <c r="AH126" s="5">
        <f>IF(AC126=0,AE126+AF126*AG126/2,AE126+AC126*AG126/2)</f>
        <v>38</v>
      </c>
      <c r="AI126" s="5">
        <v>11.41</v>
      </c>
      <c r="AJ126" s="3"/>
      <c r="AK126" s="33">
        <v>17</v>
      </c>
      <c r="AL126" s="5">
        <f>IF(AK126=0,AI126*AJ126/2,AK126)</f>
        <v>17</v>
      </c>
      <c r="AM126" s="3"/>
      <c r="AN126" s="5"/>
      <c r="AO126" s="5">
        <v>0.097</v>
      </c>
      <c r="AP126" s="5">
        <f>AL126+AI126*(AN126-AO126)/2</f>
        <v>16.446615</v>
      </c>
      <c r="AQ126" s="5">
        <f>0.1*(AE126+AL126)</f>
        <v>5.5</v>
      </c>
      <c r="AR126" s="11">
        <v>14.03</v>
      </c>
      <c r="AS126" s="11"/>
      <c r="AT126" s="11"/>
      <c r="AU126" s="11"/>
      <c r="AV126" s="33"/>
      <c r="AW126" s="5">
        <f>IF(AV126=0,AS126/6*(AT126+AU126*4),AV126)</f>
        <v>0</v>
      </c>
      <c r="AX126" s="11">
        <v>0</v>
      </c>
      <c r="AY126" s="5">
        <f>IF(AX126&lt;0.149*M126+0.329,1,AX126/(0.149*M126+0.329))</f>
        <v>1</v>
      </c>
      <c r="AZ126" s="5">
        <f>IF(AW126*AY126&gt;AL126,(AW126*AY126-AL126)/4,0)</f>
        <v>0</v>
      </c>
      <c r="BA126" s="12">
        <f>0.401+0.1831*(2*AR126^2/(AH126+AP126+AZ126))-0.02016*(2*AR126^2/(AH126+AP126+AZ126))^2+0.0007472*(2*AR126^2/(AH126+AP126+AZ126))^3</f>
        <v>0.953388196019444</v>
      </c>
      <c r="BB126" s="5">
        <v>7.2</v>
      </c>
      <c r="BC126" s="5">
        <v>11.8</v>
      </c>
      <c r="BD126" s="5">
        <v>11.8</v>
      </c>
      <c r="BE126" s="5">
        <v>7</v>
      </c>
      <c r="BF126" s="33"/>
      <c r="BG126" s="5">
        <f>IF(BF126=0,(BC126+BD126)*(BB126/12+BE126/3),BF126)</f>
        <v>69.22666666666667</v>
      </c>
      <c r="BH126" s="5">
        <f>IF(BG126*AY126&gt;AL126+AZ126,BG126*AY126-AL126-AZ126,0)</f>
        <v>52.22666666666667</v>
      </c>
      <c r="BI126" s="5">
        <f>IF(M126/1.6&lt;8,ROUND(M126/1.6,0),8)</f>
        <v>6</v>
      </c>
      <c r="BJ126" s="5">
        <f>(AH126+AP126+AZ126)*BA126+0.1*BH126</f>
        <v>57.13142672088187</v>
      </c>
      <c r="BK126" s="11">
        <v>1.9</v>
      </c>
      <c r="BL126" s="5">
        <f>M126*0.2</f>
        <v>1.98</v>
      </c>
      <c r="BM126" s="5">
        <f>ROUNDDOWN(M126/2.13,0)</f>
        <v>4</v>
      </c>
      <c r="BN126" s="12">
        <f>M126/4.26</f>
        <v>2.323943661971831</v>
      </c>
      <c r="BO126" s="5">
        <f>IF(M126&lt;8,1.22,IF(M126&lt;15.2,0.108333*M126+0.353,2))</f>
        <v>1.4254967</v>
      </c>
      <c r="BP126" s="12">
        <f>IF(BK126&lt;BO126,1+0.3*(BO126-BK126)/M126,1)</f>
        <v>1</v>
      </c>
      <c r="BQ126" s="39">
        <v>6</v>
      </c>
      <c r="BR126" s="39">
        <v>0</v>
      </c>
      <c r="BS126" t="s" s="24">
        <v>154</v>
      </c>
      <c r="BT126" s="36"/>
      <c r="BU126" s="36"/>
      <c r="BV126" s="5">
        <f>IF(BQ126&lt;(M126/0.3048)^0.5,1,IF(BU126="x",1-BR126*0.02,IF(BT126="x",1-BR126*0.01,1)))</f>
        <v>1</v>
      </c>
      <c r="BW126" s="12">
        <f>IF(K126="x",MIN(1.315,1.28+U126*N126/BJ126/AR126/1100),IF(L126="x",1.28,MAX(1.245,1.28-U126*N126/BJ126/AR126/1100)))</f>
        <v>1.247336173362769</v>
      </c>
      <c r="BX126" s="41">
        <f>BW126*T126*BV126*BP126*N126^0.3*BJ126^0.4/V126^0.325</f>
        <v>0.8978723581266673</v>
      </c>
      <c r="BY126" s="29"/>
      <c r="BZ126" s="29"/>
      <c r="CA126" t="s" s="19">
        <v>213</v>
      </c>
      <c r="CB126" t="s" s="19">
        <v>917</v>
      </c>
      <c r="CC126" t="s" s="19">
        <v>164</v>
      </c>
      <c r="CD126" t="s" s="19">
        <v>918</v>
      </c>
      <c r="CE126" s="3"/>
      <c r="CF126" s="3"/>
      <c r="CG126" t="s" s="30">
        <f>A126</f>
        <v>919</v>
      </c>
    </row>
    <row r="127" ht="12.75" customHeight="1">
      <c r="A127" t="s" s="25">
        <v>920</v>
      </c>
      <c r="B127" t="s" s="19">
        <v>574</v>
      </c>
      <c r="C127" t="s" s="19">
        <v>213</v>
      </c>
      <c r="D127" t="s" s="19">
        <v>169</v>
      </c>
      <c r="E127" t="s" s="19">
        <v>921</v>
      </c>
      <c r="F127" s="3"/>
      <c r="G127" s="3"/>
      <c r="H127" s="32"/>
      <c r="I127" s="32"/>
      <c r="J127" t="s" s="24">
        <v>154</v>
      </c>
      <c r="K127" s="36"/>
      <c r="L127" s="36"/>
      <c r="M127" s="11">
        <v>12.55</v>
      </c>
      <c r="N127" s="5">
        <v>12.43</v>
      </c>
      <c r="O127" s="11">
        <v>7</v>
      </c>
      <c r="P127" s="11">
        <v>1.08</v>
      </c>
      <c r="Q127" s="37"/>
      <c r="R127" s="36"/>
      <c r="S127" s="36"/>
      <c r="T127" s="38">
        <f>IF(S127&gt;0,1.048,IF(R127&gt;0,1.048,IF(Q127&gt;0,1.036,0.907+1.55*(P127/N127)-4.449*(P127/N127)^2)))</f>
        <v>1.008087450300929</v>
      </c>
      <c r="U127" s="39">
        <v>4900</v>
      </c>
      <c r="V127" s="40">
        <f>IF(H127="x",75+U127,IF(M127&lt;6.66,150+U127,-1.7384*M127^2+92.38*M127-388+U127))</f>
        <v>5397.566654</v>
      </c>
      <c r="W127" s="5"/>
      <c r="X127" s="5"/>
      <c r="Y127" s="5"/>
      <c r="Z127" s="5"/>
      <c r="AA127" s="5"/>
      <c r="AB127" s="5"/>
      <c r="AC127" s="5"/>
      <c r="AD127" s="33">
        <v>42</v>
      </c>
      <c r="AE127" s="5">
        <f>IF(AD127=0,(W127+4*X127+2*Y127+4*Z127+AA127)*AC127/12+W127*AB127/1.5,AD127)</f>
        <v>42</v>
      </c>
      <c r="AF127" s="11">
        <v>16</v>
      </c>
      <c r="AG127" s="11"/>
      <c r="AH127" s="5">
        <f>IF(AC127=0,AE127+AF127*AG127/2,AE127+AC127*AG127/2)</f>
        <v>42</v>
      </c>
      <c r="AI127" s="5">
        <v>16.3</v>
      </c>
      <c r="AJ127" s="5">
        <v>5.031</v>
      </c>
      <c r="AK127" s="33"/>
      <c r="AL127" s="5">
        <f>IF(AK127=0,AI127*AJ127/2,AK127)</f>
        <v>41.00265</v>
      </c>
      <c r="AM127" s="3"/>
      <c r="AN127" s="5"/>
      <c r="AO127" s="5"/>
      <c r="AP127" s="5">
        <f>AL127+AI127*(AN127-AO127)/2</f>
        <v>41.00265</v>
      </c>
      <c r="AQ127" s="5">
        <f>0.1*(AE127+AL127)</f>
        <v>8.300265000000001</v>
      </c>
      <c r="AR127" s="11">
        <v>16.35</v>
      </c>
      <c r="AS127" s="11"/>
      <c r="AT127" s="11"/>
      <c r="AU127" s="11"/>
      <c r="AV127" s="33">
        <v>73</v>
      </c>
      <c r="AW127" s="5">
        <f>IF(AV127=0,AS127/6*(AT127+AU127*4),AV127)</f>
        <v>73</v>
      </c>
      <c r="AX127" s="11"/>
      <c r="AY127" s="5">
        <f>IF(AX127&lt;0.149*M127+0.329,1,AX127/(0.149*M127+0.329))</f>
        <v>1</v>
      </c>
      <c r="AZ127" s="5">
        <f>IF(AW127*AY127&gt;AL127,(AW127*AY127-AL127)/4,0)</f>
        <v>7.999337499999999</v>
      </c>
      <c r="BA127" s="12">
        <f>0.401+0.1831*(2*AR127^2/(AH127+AP127+AZ127))-0.02016*(2*AR127^2/(AH127+AP127+AZ127))^2+0.0007472*(2*AR127^2/(AH127+AP127+AZ127))^3</f>
        <v>0.93239634823108</v>
      </c>
      <c r="BB127" s="3"/>
      <c r="BC127" s="3"/>
      <c r="BD127" s="3"/>
      <c r="BE127" s="3"/>
      <c r="BF127" s="33">
        <v>150</v>
      </c>
      <c r="BG127" s="5">
        <f>IF(BF127=0,(BC127+BD127)*(BB127/12+BE127/3),BF127)</f>
        <v>150</v>
      </c>
      <c r="BH127" s="5">
        <f>IF(BG127*AY127&gt;AL127+AZ127,BG127*AY127-AL127-AZ127,0)</f>
        <v>100.9980125</v>
      </c>
      <c r="BI127" s="5">
        <f>IF(M127/1.6&lt;8,ROUND(M127/1.6,0),8)</f>
        <v>8</v>
      </c>
      <c r="BJ127" s="5">
        <f>(AH127+AP127+AZ127)*BA127+0.1*BH127</f>
        <v>94.94972207677039</v>
      </c>
      <c r="BK127" s="11">
        <v>2</v>
      </c>
      <c r="BL127" s="5">
        <f>M127*0.2</f>
        <v>2.51</v>
      </c>
      <c r="BM127" s="5">
        <f>ROUNDDOWN(M127/2.13,0)</f>
        <v>5</v>
      </c>
      <c r="BN127" s="12">
        <f>M127/4.26</f>
        <v>2.946009389671362</v>
      </c>
      <c r="BO127" s="5">
        <f>IF(M127&lt;8,1.22,IF(M127&lt;15.2,0.108333*M127+0.353,2))</f>
        <v>1.71257915</v>
      </c>
      <c r="BP127" s="12">
        <f>IF(BK127&lt;BO127,1+0.3*(BO127-BK127)/M127,1)</f>
        <v>1</v>
      </c>
      <c r="BQ127" s="39">
        <v>7</v>
      </c>
      <c r="BR127" s="39">
        <v>2</v>
      </c>
      <c r="BS127" s="36"/>
      <c r="BT127" t="s" s="24">
        <v>154</v>
      </c>
      <c r="BU127" s="36"/>
      <c r="BV127" s="5">
        <f>IF(BQ127&lt;(M127/0.3048)^0.5,1,IF(BU127="x",1-BR127*0.02,IF(BT127="x",1-BR127*0.01,1)))</f>
        <v>0.98</v>
      </c>
      <c r="BW127" s="12">
        <f>IF(K127="x",MIN(1.315,1.28+U127*N127/BJ127/AR127/1100),IF(L127="x",1.28,MAX(1.245,1.28-U127*N127/BJ127/AR127/1100)))</f>
        <v>1.245</v>
      </c>
      <c r="BX127" s="41">
        <f>BW127*T127*BV127*BP127*N127^0.3*BJ127^0.4/V127^0.325</f>
        <v>0.9914437937600722</v>
      </c>
      <c r="BY127" s="29"/>
      <c r="BZ127" s="29"/>
      <c r="CA127" t="s" s="19">
        <v>213</v>
      </c>
      <c r="CB127" t="s" s="19">
        <v>430</v>
      </c>
      <c r="CC127" t="s" s="19">
        <v>180</v>
      </c>
      <c r="CD127" s="3"/>
      <c r="CE127" s="3"/>
      <c r="CF127" s="3"/>
      <c r="CG127" t="s" s="30">
        <f>A127</f>
        <v>922</v>
      </c>
    </row>
    <row r="128" ht="12.75" customHeight="1">
      <c r="A128" t="s" s="25">
        <v>923</v>
      </c>
      <c r="B128" t="s" s="19">
        <v>924</v>
      </c>
      <c r="C128" t="s" s="19">
        <v>213</v>
      </c>
      <c r="D128" t="s" s="19">
        <v>682</v>
      </c>
      <c r="E128" t="s" s="19">
        <v>925</v>
      </c>
      <c r="F128" s="3"/>
      <c r="G128" s="3"/>
      <c r="H128" s="32"/>
      <c r="I128" s="32"/>
      <c r="J128" t="s" s="24">
        <v>154</v>
      </c>
      <c r="K128" s="36"/>
      <c r="L128" s="36"/>
      <c r="M128" s="11">
        <v>14.15</v>
      </c>
      <c r="N128" s="5">
        <v>14.15</v>
      </c>
      <c r="O128" s="11">
        <v>7.8</v>
      </c>
      <c r="P128" s="11">
        <v>1.13</v>
      </c>
      <c r="Q128" s="37"/>
      <c r="R128" s="36"/>
      <c r="S128" s="36"/>
      <c r="T128" s="38">
        <f>IF(S128&gt;0,1.048,IF(R128&gt;0,1.048,IF(Q128&gt;0,1.036,0.907+1.55*(P128/N128)-4.449*(P128/N128)^2)))</f>
        <v>1.002407843274357</v>
      </c>
      <c r="U128" s="39">
        <v>8000</v>
      </c>
      <c r="V128" s="40">
        <f>IF(H128="x",75+U128,IF(M128&lt;6.66,150+U128,-1.7384*M128^2+92.38*M128-388+U128))</f>
        <v>8571.110205999999</v>
      </c>
      <c r="W128" s="5"/>
      <c r="X128" s="5"/>
      <c r="Y128" s="5"/>
      <c r="Z128" s="5"/>
      <c r="AA128" s="5"/>
      <c r="AB128" s="5"/>
      <c r="AC128" s="5">
        <v>18</v>
      </c>
      <c r="AD128" s="33">
        <v>79</v>
      </c>
      <c r="AE128" s="5">
        <f>IF(AD128=0,(W128+4*X128+2*Y128+4*Z128+AA128)*AC128/12+W128*AB128/1.5,AD128)</f>
        <v>79</v>
      </c>
      <c r="AF128" s="11">
        <v>18.6</v>
      </c>
      <c r="AG128" s="11">
        <v>0.9</v>
      </c>
      <c r="AH128" s="5">
        <f>IF(AC128=0,AE128+AF128*AG128/2,AE128+AC128*AG128/2)</f>
        <v>87.09999999999999</v>
      </c>
      <c r="AI128" s="5">
        <v>15.9</v>
      </c>
      <c r="AJ128" s="3"/>
      <c r="AK128" s="33">
        <v>48</v>
      </c>
      <c r="AL128" s="5">
        <f>IF(AK128=0,AI128*AJ128/2,AK128)</f>
        <v>48</v>
      </c>
      <c r="AM128" s="3"/>
      <c r="AN128" s="5"/>
      <c r="AO128" s="5">
        <v>0.174</v>
      </c>
      <c r="AP128" s="5">
        <f>AL128+AI128*(AN128-AO128)/2</f>
        <v>46.6167</v>
      </c>
      <c r="AQ128" s="5">
        <f>0.1*(AE128+AL128)</f>
        <v>12.7</v>
      </c>
      <c r="AR128" s="11">
        <v>20.28</v>
      </c>
      <c r="AS128" s="11"/>
      <c r="AT128" s="11"/>
      <c r="AU128" s="11"/>
      <c r="AV128" s="33"/>
      <c r="AW128" s="5">
        <f>IF(AV128=0,AS128/6*(AT128+AU128*4),AV128)</f>
        <v>0</v>
      </c>
      <c r="AX128" s="11">
        <v>1.02</v>
      </c>
      <c r="AY128" s="5">
        <f>IF(AX128&lt;0.149*M128+0.329,1,AX128/(0.149*M128+0.329))</f>
        <v>1</v>
      </c>
      <c r="AZ128" s="5">
        <f>IF(AW128*AY128&gt;AL128,(AW128*AY128-AL128)/4,0)</f>
        <v>0</v>
      </c>
      <c r="BA128" s="12">
        <f>0.401+0.1831*(2*AR128^2/(AH128+AP128+AZ128))-0.02016*(2*AR128^2/(AH128+AP128+AZ128))^2+0.0007472*(2*AR128^2/(AH128+AP128+AZ128))^3</f>
        <v>0.9383980156162371</v>
      </c>
      <c r="BB128" s="3"/>
      <c r="BC128" s="3"/>
      <c r="BD128" s="3"/>
      <c r="BE128" s="3"/>
      <c r="BF128" s="33">
        <v>190</v>
      </c>
      <c r="BG128" s="5">
        <f>IF(BF128=0,(BC128+BD128)*(BB128/12+BE128/3),BF128)</f>
        <v>190</v>
      </c>
      <c r="BH128" s="5">
        <f>IF(BG128*AY128&gt;AL128+AZ128,BG128*AY128-AL128-AZ128,0)</f>
        <v>142</v>
      </c>
      <c r="BI128" s="42">
        <f>IF(M128/1.6&lt;8,ROUND(M128/1.6,0),8)</f>
        <v>8</v>
      </c>
      <c r="BJ128" s="5">
        <f>(AH128+AP128+AZ128)*BA128+0.1*BH128</f>
        <v>139.6794859347517</v>
      </c>
      <c r="BK128" s="11">
        <v>2</v>
      </c>
      <c r="BL128" s="5">
        <f>M128*0.2</f>
        <v>2.83</v>
      </c>
      <c r="BM128" s="5">
        <f>ROUNDDOWN(M128/2.13,0)</f>
        <v>6</v>
      </c>
      <c r="BN128" s="12">
        <f>M128/4.26</f>
        <v>3.321596244131455</v>
      </c>
      <c r="BO128" s="5">
        <f>IF(M128&lt;8,1.22,IF(M128&lt;15.2,0.108333*M128+0.353,2))</f>
        <v>1.88591195</v>
      </c>
      <c r="BP128" s="12">
        <f>IF(BK128&lt;BO128,1+0.3*(BO128-BK128)/M128,1)</f>
        <v>1</v>
      </c>
      <c r="BQ128" s="39">
        <v>8</v>
      </c>
      <c r="BR128" s="39">
        <v>2</v>
      </c>
      <c r="BS128" s="36"/>
      <c r="BT128" t="s" s="24">
        <v>154</v>
      </c>
      <c r="BU128" s="36"/>
      <c r="BV128" s="5">
        <f>IF(BQ128&lt;(M128/0.3048)^0.5,1,IF(BU128="x",1-BR128*0.02,IF(BT128="x",1-BR128*0.01,1)))</f>
        <v>0.98</v>
      </c>
      <c r="BW128" s="12">
        <f>IF(K128="x",MIN(1.315,1.28+U128*N128/BJ128/AR128/1100),IF(L128="x",1.28,MAX(1.245,1.28-U128*N128/BJ128/AR128/1100)))</f>
        <v>1.245</v>
      </c>
      <c r="BX128" s="41">
        <f>BW128*T128*BV128*BP128*N128^0.3*BJ128^0.4/V128^0.325</f>
        <v>1.029159804152018</v>
      </c>
      <c r="BY128" s="29"/>
      <c r="BZ128" s="29"/>
      <c r="CA128" t="s" s="19">
        <v>213</v>
      </c>
      <c r="CB128" t="s" s="19">
        <v>370</v>
      </c>
      <c r="CC128" t="s" s="19">
        <v>614</v>
      </c>
      <c r="CD128" s="3"/>
      <c r="CE128" s="3"/>
      <c r="CF128" s="3"/>
      <c r="CG128" t="s" s="30">
        <f>A128</f>
        <v>926</v>
      </c>
    </row>
    <row r="129" ht="12.75" customHeight="1">
      <c r="A129" t="s" s="25">
        <v>927</v>
      </c>
      <c r="B129" t="s" s="19">
        <v>928</v>
      </c>
      <c r="C129" t="s" s="19">
        <v>304</v>
      </c>
      <c r="D129" t="s" s="19">
        <v>305</v>
      </c>
      <c r="E129" t="s" s="19">
        <v>929</v>
      </c>
      <c r="F129" s="3"/>
      <c r="G129" s="3"/>
      <c r="H129" s="32"/>
      <c r="I129" s="32"/>
      <c r="J129" t="s" s="24">
        <v>154</v>
      </c>
      <c r="K129" s="36"/>
      <c r="L129" s="36"/>
      <c r="M129" s="11">
        <v>8</v>
      </c>
      <c r="N129" s="5">
        <v>8</v>
      </c>
      <c r="O129" s="11">
        <v>4.5</v>
      </c>
      <c r="P129" s="11">
        <v>0.7</v>
      </c>
      <c r="Q129" s="37"/>
      <c r="R129" s="36"/>
      <c r="S129" s="36"/>
      <c r="T129" s="38">
        <f>IF(S129&gt;0,1.048,IF(R129&gt;0,1.048,IF(Q129&gt;0,1.036,0.907+1.55*(P129/N129)-4.449*(P129/N129)^2)))</f>
        <v>1.008562343750</v>
      </c>
      <c r="U129" s="39">
        <v>1000</v>
      </c>
      <c r="V129" s="40">
        <f>IF(H129="x",75+U129,IF(M129&lt;6.66,150+U129,-1.7384*M129^2+92.38*M129-388+U129))</f>
        <v>1239.7824</v>
      </c>
      <c r="W129" s="5"/>
      <c r="X129" s="5"/>
      <c r="Y129" s="5"/>
      <c r="Z129" s="5"/>
      <c r="AA129" s="5"/>
      <c r="AB129" s="5"/>
      <c r="AC129" s="5">
        <v>10.5</v>
      </c>
      <c r="AD129" s="33">
        <v>25</v>
      </c>
      <c r="AE129" s="5">
        <f>IF(AD129=0,(W129+4*X129+2*Y129+4*Z129+AA129)*AC129/12+W129*AB129/1.5,AD129)</f>
        <v>25</v>
      </c>
      <c r="AF129" s="11">
        <v>11</v>
      </c>
      <c r="AG129" s="11"/>
      <c r="AH129" s="5">
        <f>IF(AC129=0,AE129+AF129*AG129/2,AE129+AC129*AG129/2)</f>
        <v>25</v>
      </c>
      <c r="AI129" s="3"/>
      <c r="AJ129" s="3"/>
      <c r="AK129" s="33">
        <v>13</v>
      </c>
      <c r="AL129" s="5">
        <f>IF(AK129=0,AI129*AJ129/2,AK129)</f>
        <v>13</v>
      </c>
      <c r="AM129" s="3"/>
      <c r="AN129" s="5"/>
      <c r="AO129" s="5"/>
      <c r="AP129" s="5">
        <f>AL129+AI129*(AN129-AO129)/2</f>
        <v>13</v>
      </c>
      <c r="AQ129" s="5">
        <f>0.1*(AE129+AL129)</f>
        <v>3.8</v>
      </c>
      <c r="AR129" s="11">
        <v>11</v>
      </c>
      <c r="AS129" s="11"/>
      <c r="AT129" s="11"/>
      <c r="AU129" s="11"/>
      <c r="AV129" s="33">
        <v>26</v>
      </c>
      <c r="AW129" s="5">
        <f>IF(AV129=0,AS129/6*(AT129+AU129*4),AV129)</f>
        <v>26</v>
      </c>
      <c r="AX129" s="11">
        <v>0</v>
      </c>
      <c r="AY129" s="5">
        <f>IF(AX129&lt;0.149*M129+0.329,1,AX129/(0.149*M129+0.329))</f>
        <v>1</v>
      </c>
      <c r="AZ129" s="5">
        <f>IF(AW129*AY129&gt;AL129,(AW129*AY129-AL129)/4,0)</f>
        <v>3.25</v>
      </c>
      <c r="BA129" s="12">
        <f>0.401+0.1831*(2*AR129^2/(AH129+AP129+AZ129))-0.02016*(2*AR129^2/(AH129+AP129+AZ129))^2+0.0007472*(2*AR129^2/(AH129+AP129+AZ129))^3</f>
        <v>0.932197119525926</v>
      </c>
      <c r="BB129" s="3"/>
      <c r="BC129" s="3"/>
      <c r="BD129" s="3"/>
      <c r="BE129" s="3"/>
      <c r="BF129" s="33">
        <v>45</v>
      </c>
      <c r="BG129" s="5">
        <f>IF(BF129=0,(BC129+BD129)*(BB129/12+BE129/3),BF129)</f>
        <v>45</v>
      </c>
      <c r="BH129" s="5">
        <f>IF(BG129*AY129&gt;AL129+AZ129,BG129*AY129-AL129-AZ129,0)</f>
        <v>28.75</v>
      </c>
      <c r="BI129" s="5">
        <f>IF(M129/1.6&lt;8,ROUND(M129/1.6,0),8)</f>
        <v>5</v>
      </c>
      <c r="BJ129" s="5">
        <f>(AH129+AP129+AZ129)*BA129+0.1*BH129</f>
        <v>41.32813118044444</v>
      </c>
      <c r="BK129" s="11">
        <v>1.22</v>
      </c>
      <c r="BL129" s="5">
        <f>M129*0.2</f>
        <v>1.6</v>
      </c>
      <c r="BM129" s="5">
        <f>ROUNDDOWN(M129/2.13,0)</f>
        <v>3</v>
      </c>
      <c r="BN129" s="12">
        <f>M129/4.26</f>
        <v>1.877934272300469</v>
      </c>
      <c r="BO129" s="5">
        <f>IF(M129&lt;8,1.22,IF(M129&lt;15.2,0.108333*M129+0.353,2))</f>
        <v>1.219664</v>
      </c>
      <c r="BP129" s="12">
        <f>IF(BK129&lt;BO129,1+0.3*(BO129-BK129)/M129,1)</f>
        <v>1</v>
      </c>
      <c r="BQ129" s="32"/>
      <c r="BR129" s="39">
        <v>0</v>
      </c>
      <c r="BS129" t="s" s="24">
        <v>154</v>
      </c>
      <c r="BT129" s="36"/>
      <c r="BU129" s="36"/>
      <c r="BV129" s="5">
        <f>IF(BQ129&lt;(M129/0.3048)^0.5,1,IF(BU129="x",1-BR129*0.02,IF(BT129="x",1-BR129*0.01,1)))</f>
        <v>1</v>
      </c>
      <c r="BW129" s="12">
        <f>IF(K129="x",MIN(1.315,1.28+U129*N129/BJ129/AR129/1100),IF(L129="x",1.28,MAX(1.245,1.28-U129*N129/BJ129/AR129/1100)))</f>
        <v>1.264002252076033</v>
      </c>
      <c r="BX129" s="41">
        <f>BW129*T129*BV129*BP129*N129^0.3*BJ129^0.4/V129^0.325</f>
        <v>1.041210701508468</v>
      </c>
      <c r="BY129" s="29"/>
      <c r="BZ129" s="29"/>
      <c r="CA129" t="s" s="19">
        <v>162</v>
      </c>
      <c r="CB129" t="s" s="19">
        <v>370</v>
      </c>
      <c r="CC129" t="s" s="19">
        <v>180</v>
      </c>
      <c r="CD129" t="s" s="19">
        <v>930</v>
      </c>
      <c r="CE129" s="3"/>
      <c r="CF129" s="3"/>
      <c r="CG129" t="s" s="30">
        <f>A129</f>
        <v>931</v>
      </c>
    </row>
    <row r="130" ht="12.75" customHeight="1">
      <c r="A130" t="s" s="30">
        <v>932</v>
      </c>
      <c r="B130" t="s" s="31">
        <v>933</v>
      </c>
      <c r="C130" t="s" s="19">
        <v>934</v>
      </c>
      <c r="D130" t="s" s="19">
        <v>935</v>
      </c>
      <c r="E130" t="s" s="19">
        <v>936</v>
      </c>
      <c r="F130" s="4"/>
      <c r="G130" s="4"/>
      <c r="H130" s="32"/>
      <c r="I130" s="32"/>
      <c r="J130" t="s" s="24">
        <v>154</v>
      </c>
      <c r="K130" s="32"/>
      <c r="L130" s="32"/>
      <c r="M130" s="11">
        <v>13.1</v>
      </c>
      <c r="N130" s="15">
        <v>13.1</v>
      </c>
      <c r="O130" s="11">
        <v>7</v>
      </c>
      <c r="P130" s="11"/>
      <c r="Q130" s="11"/>
      <c r="R130" t="s" s="24">
        <v>937</v>
      </c>
      <c r="S130" s="32"/>
      <c r="T130" s="38">
        <f>IF(S130&gt;0,1.048,IF(R130&gt;0,1.048,IF(Q130&gt;0,1.036,0.907+1.55*(P130/N130)-4.449*(P130/N130)^2)))</f>
        <v>1.048</v>
      </c>
      <c r="U130" s="39">
        <v>6500</v>
      </c>
      <c r="V130" s="45">
        <f>IF(H130="x",75+U130,IF(M130&lt;6.66,150+U130,-1.7384*M130^2+92.38*M130-388+U130))</f>
        <v>7023.851176</v>
      </c>
      <c r="W130" s="11"/>
      <c r="X130" s="11"/>
      <c r="Y130" s="11"/>
      <c r="Z130" s="11"/>
      <c r="AA130" s="11"/>
      <c r="AB130" s="11"/>
      <c r="AC130" s="11"/>
      <c r="AD130" s="33">
        <v>58</v>
      </c>
      <c r="AE130" s="5">
        <f>IF(AD130=0,(W130+4*X130+2*Y130+4*Z130+AA130)*AC130/12+W130*AB130/1.5,AD130)</f>
        <v>58</v>
      </c>
      <c r="AF130" s="11">
        <v>17.7</v>
      </c>
      <c r="AG130" s="11"/>
      <c r="AH130" s="5">
        <f>IF(AC130=0,AE130+AF130*AG130/2,AE130+AC130*AG130/2)</f>
        <v>58</v>
      </c>
      <c r="AI130" s="11"/>
      <c r="AJ130" s="11"/>
      <c r="AK130" s="33">
        <v>49</v>
      </c>
      <c r="AL130" s="5">
        <f>IF(AK130=0,AI130*AJ130/2,AK130)</f>
        <v>49</v>
      </c>
      <c r="AM130" s="32"/>
      <c r="AN130" s="11"/>
      <c r="AO130" s="11"/>
      <c r="AP130" s="5">
        <f>AL130+AI130*(AN130-AO130)/2</f>
        <v>49</v>
      </c>
      <c r="AQ130" s="5">
        <f>0.1*(AE130+AL130)</f>
        <v>10.7</v>
      </c>
      <c r="AR130" s="11">
        <v>17.84</v>
      </c>
      <c r="AS130" s="11"/>
      <c r="AT130" s="11"/>
      <c r="AU130" s="11"/>
      <c r="AV130" s="33"/>
      <c r="AW130" s="5">
        <f>IF(AV130=0,AS130/6*(AT130+AU130*4),AV130)</f>
        <v>0</v>
      </c>
      <c r="AX130" s="11"/>
      <c r="AY130" s="5">
        <f>IF(AX130&lt;0.149*M130+0.329,1,AX130/(0.149*M130+0.329))</f>
        <v>1</v>
      </c>
      <c r="AZ130" s="5">
        <f>IF(AW130*AY130&gt;AL130,(AW130*AY130-AL130)/4,0)</f>
        <v>0</v>
      </c>
      <c r="BA130" s="12">
        <f>0.401+0.1831*(2*AR130^2/(AH130+AP130+AZ130))-0.02016*(2*AR130^2/(AH130+AP130+AZ130))^2+0.0007472*(2*AR130^2/(AH130+AP130+AZ130))^3</f>
        <v>0.9340994006542931</v>
      </c>
      <c r="BB130" s="11"/>
      <c r="BC130" s="11"/>
      <c r="BD130" s="11"/>
      <c r="BE130" s="11"/>
      <c r="BF130" s="33"/>
      <c r="BG130" s="5">
        <f>IF(BF130=0,(BC130+BD130)*(BB130/12+BE130/3),BF130)</f>
        <v>0</v>
      </c>
      <c r="BH130" s="5">
        <f>IF(BG130*AY130&gt;AL130+AZ130,BG130*AY130-AL130-AZ130,0)</f>
        <v>0</v>
      </c>
      <c r="BI130" s="42">
        <f>IF(M130/1.6&lt;8,ROUND(M130/1.6,0),8)</f>
        <v>8</v>
      </c>
      <c r="BJ130" s="15">
        <f>(AH130+AP130+AZ130)*BA130+0.1*BH130</f>
        <v>99.94863587000935</v>
      </c>
      <c r="BK130" s="11">
        <v>1.8</v>
      </c>
      <c r="BL130" s="5">
        <f>M130*0.2</f>
        <v>2.62</v>
      </c>
      <c r="BM130" s="5">
        <f>ROUNDDOWN(M130/2.13,0)</f>
        <v>6</v>
      </c>
      <c r="BN130" s="12">
        <f>M130/4.26</f>
        <v>3.075117370892019</v>
      </c>
      <c r="BO130" s="5">
        <f>IF(M130&lt;8,1.22,IF(M130&lt;15.2,0.108333*M130+0.353,2))</f>
        <v>1.7721623</v>
      </c>
      <c r="BP130" s="7">
        <f>IF(BK130&lt;BO130,1+0.3*(BO130-BK130)/M130,1)</f>
        <v>1</v>
      </c>
      <c r="BQ130" s="39">
        <v>7</v>
      </c>
      <c r="BR130" s="39">
        <v>2</v>
      </c>
      <c r="BS130" s="32"/>
      <c r="BT130" s="32"/>
      <c r="BU130" t="s" s="20">
        <v>154</v>
      </c>
      <c r="BV130" s="15">
        <f>IF(BQ130&lt;(M130/0.3048)^0.5,1,IF(BU130="x",1-BR130*0.02,IF(BT130="x",1-BR130*0.01,1)))</f>
        <v>0.96</v>
      </c>
      <c r="BW130" s="7">
        <f>IF(K130="x",MIN(1.315,1.28+U130*N130/BJ130/AR130/1100),IF(L130="x",1.28,MAX(1.245,1.28-U130*N130/BJ130/AR130/1100)))</f>
        <v>1.245</v>
      </c>
      <c r="BX130" s="41">
        <f>BW130*T130*BV130*BP130*N130^0.3*BJ130^0.4/V130^0.325</f>
        <v>0.9610744492788518</v>
      </c>
      <c r="BY130" s="29"/>
      <c r="BZ130" s="29"/>
      <c r="CA130" t="s" s="31">
        <v>638</v>
      </c>
      <c r="CB130" t="s" s="31">
        <v>639</v>
      </c>
      <c r="CC130" t="s" s="13">
        <v>93</v>
      </c>
      <c r="CD130" t="s" s="19">
        <v>640</v>
      </c>
      <c r="CE130" s="3"/>
      <c r="CF130" s="3"/>
      <c r="CG130" t="s" s="30">
        <f>A130</f>
        <v>938</v>
      </c>
    </row>
    <row r="131" ht="12.75" customHeight="1">
      <c r="A131" t="s" s="25">
        <v>939</v>
      </c>
      <c r="B131" t="s" s="19">
        <v>940</v>
      </c>
      <c r="C131" t="s" s="19">
        <v>213</v>
      </c>
      <c r="D131" t="s" s="19">
        <v>941</v>
      </c>
      <c r="E131" t="s" s="19">
        <v>942</v>
      </c>
      <c r="F131" t="s" s="19">
        <v>943</v>
      </c>
      <c r="G131" s="3"/>
      <c r="H131" s="32"/>
      <c r="I131" s="32"/>
      <c r="J131" t="s" s="24">
        <v>154</v>
      </c>
      <c r="K131" s="36"/>
      <c r="L131" s="36"/>
      <c r="M131" s="11">
        <v>11.99</v>
      </c>
      <c r="N131" s="5">
        <v>11.99</v>
      </c>
      <c r="O131" s="11">
        <v>7</v>
      </c>
      <c r="P131" s="11">
        <v>1.04</v>
      </c>
      <c r="Q131" s="37"/>
      <c r="R131" s="36"/>
      <c r="S131" s="36"/>
      <c r="T131" s="38">
        <f>IF(S131&gt;0,1.048,IF(R131&gt;0,1.048,IF(Q131&gt;0,1.036,0.907+1.55*(P131/N131)-4.449*(P131/N131)^2)))</f>
        <v>1.007972673224351</v>
      </c>
      <c r="U131" s="39">
        <v>5600</v>
      </c>
      <c r="V131" s="40">
        <f>IF(H131="x",75+U131,IF(M131&lt;6.66,150+U131,-1.7384*M131^2+92.38*M131-388+U131))</f>
        <v>6069.72364216</v>
      </c>
      <c r="W131" s="5">
        <v>5.1</v>
      </c>
      <c r="X131" s="5"/>
      <c r="Y131" s="5"/>
      <c r="Z131" s="5"/>
      <c r="AA131" s="5"/>
      <c r="AB131" s="5"/>
      <c r="AC131" s="5">
        <v>15.82</v>
      </c>
      <c r="AD131" s="33">
        <v>63</v>
      </c>
      <c r="AE131" s="5">
        <f>IF(AD131=0,(W131+4*X131+2*Y131+4*Z131+AA131)*AC131/12+W131*AB131/1.5,AD131)</f>
        <v>63</v>
      </c>
      <c r="AF131" s="11">
        <v>16.8</v>
      </c>
      <c r="AG131" s="11"/>
      <c r="AH131" s="5">
        <f>IF(AC131=0,AE131+AF131*AG131/2,AE131+AC131*AG131/2)</f>
        <v>63</v>
      </c>
      <c r="AI131" s="5">
        <v>15.1</v>
      </c>
      <c r="AJ131" s="3"/>
      <c r="AK131" s="33">
        <v>39</v>
      </c>
      <c r="AL131" s="5">
        <f>IF(AK131=0,AI131*AJ131/2,AK131)</f>
        <v>39</v>
      </c>
      <c r="AM131" s="3"/>
      <c r="AN131" s="5"/>
      <c r="AO131" s="5">
        <v>0.13</v>
      </c>
      <c r="AP131" s="5">
        <f>AL131+AI131*(AN131-AO131)/2</f>
        <v>38.0185</v>
      </c>
      <c r="AQ131" s="5">
        <f>0.1*(AE131+AL131)</f>
        <v>10.2</v>
      </c>
      <c r="AR131" s="11">
        <v>16.73</v>
      </c>
      <c r="AS131" s="11"/>
      <c r="AT131" s="11"/>
      <c r="AU131" s="11"/>
      <c r="AV131" s="33">
        <v>60</v>
      </c>
      <c r="AW131" s="5">
        <f>IF(AV131=0,AS131/6*(AT131+AU131*4),AV131)</f>
        <v>60</v>
      </c>
      <c r="AX131" s="11">
        <v>0.6</v>
      </c>
      <c r="AY131" s="5">
        <f>IF(AX131&lt;0.149*M131+0.329,1,AX131/(0.149*M131+0.329))</f>
        <v>1</v>
      </c>
      <c r="AZ131" s="5">
        <f>IF(AW131*AY131&gt;AL131,(AW131*AY131-AL131)/4,0)</f>
        <v>5.25</v>
      </c>
      <c r="BA131" s="12">
        <f>0.401+0.1831*(2*AR131^2/(AH131+AP131+AZ131))-0.02016*(2*AR131^2/(AH131+AP131+AZ131))^2+0.0007472*(2*AR131^2/(AH131+AP131+AZ131))^3</f>
        <v>0.9153207832783985</v>
      </c>
      <c r="BB131" s="3"/>
      <c r="BC131" s="3"/>
      <c r="BD131" s="3"/>
      <c r="BE131" s="3"/>
      <c r="BF131" s="33">
        <v>135</v>
      </c>
      <c r="BG131" s="5">
        <f>IF(BF131=0,(BC131+BD131)*(BB131/12+BE131/3),BF131)</f>
        <v>135</v>
      </c>
      <c r="BH131" s="5">
        <f>IF(BG131*AY131&gt;AL131+AZ131,BG131*AY131-AL131-AZ131,0)</f>
        <v>90.75</v>
      </c>
      <c r="BI131" s="5">
        <f>IF(M131/1.6&lt;8,ROUND(M131/1.6,0),8)</f>
        <v>7</v>
      </c>
      <c r="BJ131" s="5">
        <f>(AH131+AP131+AZ131)*BA131+0.1*BH131</f>
        <v>106.3447666578205</v>
      </c>
      <c r="BK131" s="11">
        <v>2</v>
      </c>
      <c r="BL131" s="5">
        <f>M131*0.2</f>
        <v>2.398</v>
      </c>
      <c r="BM131" s="5">
        <f>ROUNDDOWN(M131/2.13,0)</f>
        <v>5</v>
      </c>
      <c r="BN131" s="12">
        <f>M131/4.26</f>
        <v>2.814553990610329</v>
      </c>
      <c r="BO131" s="5">
        <f>IF(M131&lt;8,1.22,IF(M131&lt;15.2,0.108333*M131+0.353,2))</f>
        <v>1.65191267</v>
      </c>
      <c r="BP131" s="12">
        <f>IF(BK131&lt;BO131,1+0.3*(BO131-BK131)/M131,1)</f>
        <v>1</v>
      </c>
      <c r="BQ131" s="39">
        <v>8</v>
      </c>
      <c r="BR131" s="39">
        <v>2</v>
      </c>
      <c r="BS131" s="36"/>
      <c r="BT131" t="s" s="24">
        <v>154</v>
      </c>
      <c r="BU131" s="36"/>
      <c r="BV131" s="5">
        <f>IF(BQ131&lt;(M131/0.3048)^0.5,1,IF(BU131="x",1-BR131*0.02,IF(BT131="x",1-BR131*0.01,1)))</f>
        <v>0.98</v>
      </c>
      <c r="BW131" s="12">
        <f>IF(K131="x",MIN(1.315,1.28+U131*N131/BJ131/AR131/1100),IF(L131="x",1.28,MAX(1.245,1.28-U131*N131/BJ131/AR131/1100)))</f>
        <v>1.245691442282315</v>
      </c>
      <c r="BX131" s="41">
        <f>BW131*T131*BV131*BP131*N131^0.3*BJ131^0.4/V131^0.325</f>
        <v>0.9882973265917477</v>
      </c>
      <c r="BY131" s="29"/>
      <c r="BZ131" s="48"/>
      <c r="CA131" t="s" s="19">
        <v>213</v>
      </c>
      <c r="CB131" t="s" s="19">
        <v>357</v>
      </c>
      <c r="CC131" t="s" s="19">
        <v>614</v>
      </c>
      <c r="CD131" s="3"/>
      <c r="CE131" s="3"/>
      <c r="CF131" s="3"/>
      <c r="CG131" t="s" s="30">
        <f>A131</f>
        <v>944</v>
      </c>
    </row>
    <row r="132" ht="12.75" customHeight="1">
      <c r="A132" t="s" s="30">
        <v>945</v>
      </c>
      <c r="B132" s="4"/>
      <c r="C132" t="s" s="19">
        <v>946</v>
      </c>
      <c r="D132" s="3"/>
      <c r="E132" s="3"/>
      <c r="F132" s="4"/>
      <c r="G132" s="4"/>
      <c r="H132" s="32"/>
      <c r="I132" s="32"/>
      <c r="J132" s="32"/>
      <c r="K132" t="s" s="24">
        <v>154</v>
      </c>
      <c r="L132" s="32"/>
      <c r="M132" s="11">
        <v>10.8</v>
      </c>
      <c r="N132" s="15">
        <v>10.8</v>
      </c>
      <c r="O132" s="11">
        <v>7.6</v>
      </c>
      <c r="P132" s="11"/>
      <c r="Q132" s="11">
        <v>2</v>
      </c>
      <c r="R132" s="32"/>
      <c r="S132" s="32"/>
      <c r="T132" s="38">
        <f>IF(S132&gt;0,1.048,IF(R132&gt;0,1.048,IF(Q132&gt;0,1.036,0.907+1.55*(P132/N132)-4.449*(P132/N132)^2)))</f>
        <v>1.036</v>
      </c>
      <c r="U132" s="39">
        <v>2200</v>
      </c>
      <c r="V132" s="45">
        <f>IF(H132="x",75+U132,IF(M132&lt;6.66,150+U132,-1.7384*M132^2+92.38*M132-388+U132))</f>
        <v>2606.937024</v>
      </c>
      <c r="W132" s="11"/>
      <c r="X132" s="11"/>
      <c r="Y132" s="11"/>
      <c r="Z132" s="11"/>
      <c r="AA132" s="11"/>
      <c r="AB132" s="11"/>
      <c r="AC132" s="11"/>
      <c r="AD132" s="33">
        <v>35</v>
      </c>
      <c r="AE132" s="5">
        <f>IF(AD132=0,(W132+4*X132+2*Y132+4*Z132+AA132)*AC132/12+W132*AB132/1.5,AD132)</f>
        <v>35</v>
      </c>
      <c r="AF132" s="11">
        <v>12</v>
      </c>
      <c r="AG132" s="11"/>
      <c r="AH132" s="5">
        <f>IF(AC132=0,AE132+AF132*AG132/2,AE132+AC132*AG132/2)</f>
        <v>35</v>
      </c>
      <c r="AI132" s="11"/>
      <c r="AJ132" s="11"/>
      <c r="AK132" s="33">
        <v>25</v>
      </c>
      <c r="AL132" s="5">
        <f>IF(AK132=0,AI132*AJ132/2,AK132)</f>
        <v>25</v>
      </c>
      <c r="AM132" s="32"/>
      <c r="AN132" s="11"/>
      <c r="AO132" s="11"/>
      <c r="AP132" s="5">
        <f>AL132+AI132*(AN132-AO132)/2</f>
        <v>25</v>
      </c>
      <c r="AQ132" s="5">
        <f>0.1*(AE132+AL132)</f>
        <v>6</v>
      </c>
      <c r="AR132" s="11">
        <v>12</v>
      </c>
      <c r="AS132" s="11"/>
      <c r="AT132" s="11"/>
      <c r="AU132" s="11"/>
      <c r="AV132" s="33"/>
      <c r="AW132" s="5">
        <f>IF(AV132=0,AS132/6*(AT132+AU132*4),AV132)</f>
        <v>0</v>
      </c>
      <c r="AX132" s="11"/>
      <c r="AY132" s="5">
        <f>IF(AX132&lt;0.149*M132+0.329,1,AX132/(0.149*M132+0.329))</f>
        <v>1</v>
      </c>
      <c r="AZ132" s="5">
        <f>IF(AW132*AY132&gt;AL132,(AW132*AY132-AL132)/4,0)</f>
        <v>0</v>
      </c>
      <c r="BA132" s="12">
        <f>0.401+0.1831*(2*AR132^2/(AH132+AP132+AZ132))-0.02016*(2*AR132^2/(AH132+AP132+AZ132))^2+0.0007472*(2*AR132^2/(AH132+AP132+AZ132))^3</f>
        <v>0.8980279423999999</v>
      </c>
      <c r="BB132" s="11"/>
      <c r="BC132" s="11"/>
      <c r="BD132" s="11"/>
      <c r="BE132" s="11"/>
      <c r="BF132" s="33"/>
      <c r="BG132" s="5">
        <f>IF(BF132=0,(BC132+BD132)*(BB132/12+BE132/3),BF132)</f>
        <v>0</v>
      </c>
      <c r="BH132" s="5">
        <f>IF(BG132*AY132&gt;AL132+AZ132,BG132*AY132-AL132-AZ132,0)</f>
        <v>0</v>
      </c>
      <c r="BI132" s="5">
        <f>IF(M132/1.6&lt;8,ROUND(M132/1.6,0),8)</f>
        <v>7</v>
      </c>
      <c r="BJ132" s="15">
        <f>(AH132+AP132+AZ132)*BA132+0.1*BH132</f>
        <v>53.88167654399999</v>
      </c>
      <c r="BK132" s="11">
        <v>1.95</v>
      </c>
      <c r="BL132" s="5">
        <f>M132*0.2</f>
        <v>2.16</v>
      </c>
      <c r="BM132" s="5">
        <f>ROUNDDOWN(M132/2.13,0)</f>
        <v>5</v>
      </c>
      <c r="BN132" s="12">
        <f>M132/4.26</f>
        <v>2.535211267605634</v>
      </c>
      <c r="BO132" s="5">
        <f>IF(M132&lt;8,1.22,IF(M132&lt;15.2,0.108333*M132+0.353,2))</f>
        <v>1.5229964</v>
      </c>
      <c r="BP132" s="7">
        <f>IF(BK132&lt;BO132,1+0.3*(BO132-BK132)/M132,1)</f>
        <v>1</v>
      </c>
      <c r="BQ132" s="39">
        <v>5</v>
      </c>
      <c r="BR132" s="32"/>
      <c r="BS132" t="s" s="20">
        <v>154</v>
      </c>
      <c r="BT132" s="32"/>
      <c r="BU132" s="32"/>
      <c r="BV132" s="15">
        <f>IF(BQ132&lt;(M132/0.3048)^0.5,1,IF(BU132="x",1-BR132*0.02,IF(BT132="x",1-BR132*0.01,1)))</f>
        <v>1</v>
      </c>
      <c r="BW132" s="7">
        <f>IF(K132="x",MIN(1.315,1.28+U132*N132/BJ132/AR132/1100),IF(L132="x",1.28,MAX(1.245,1.28-U132*N132/BJ132/AR132/1100)))</f>
        <v>1.313406532896765</v>
      </c>
      <c r="BX132" s="41">
        <f>BW132*T132*BV132*BP132*N132^0.3*BJ132^0.4/V132^0.325</f>
        <v>1.061989123486494</v>
      </c>
      <c r="BY132" s="29"/>
      <c r="BZ132" s="29"/>
      <c r="CA132" t="s" s="31">
        <v>638</v>
      </c>
      <c r="CB132" t="s" s="31">
        <v>639</v>
      </c>
      <c r="CC132" t="s" s="13">
        <v>93</v>
      </c>
      <c r="CD132" t="s" s="19">
        <v>640</v>
      </c>
      <c r="CE132" s="3"/>
      <c r="CF132" s="3"/>
      <c r="CG132" t="s" s="30">
        <f>A132</f>
        <v>947</v>
      </c>
    </row>
    <row r="133" ht="12.75" customHeight="1">
      <c r="A133" t="s" s="25">
        <v>948</v>
      </c>
      <c r="B133" t="s" s="19">
        <v>949</v>
      </c>
      <c r="C133" t="s" s="19">
        <v>950</v>
      </c>
      <c r="D133" t="s" s="19">
        <v>204</v>
      </c>
      <c r="E133" t="s" s="19">
        <v>951</v>
      </c>
      <c r="F133" t="s" s="19">
        <v>952</v>
      </c>
      <c r="G133" t="s" s="19">
        <v>953</v>
      </c>
      <c r="H133" s="32"/>
      <c r="I133" s="32"/>
      <c r="J133" t="s" s="24">
        <v>154</v>
      </c>
      <c r="K133" s="36"/>
      <c r="L133" s="36"/>
      <c r="M133" s="11">
        <v>11.68</v>
      </c>
      <c r="N133" s="5">
        <v>11.28</v>
      </c>
      <c r="O133" s="11">
        <v>6.67</v>
      </c>
      <c r="P133" s="11"/>
      <c r="Q133" s="37"/>
      <c r="R133" s="43">
        <v>2.1</v>
      </c>
      <c r="S133" s="36"/>
      <c r="T133" s="38">
        <f>IF(S133&gt;0,1.048,IF(R133&gt;0,1.048,IF(Q133&gt;0,1.036,0.907+1.55*(P133/N133)-4.449*(P133/N133)^2)))</f>
        <v>1.048</v>
      </c>
      <c r="U133" s="39">
        <v>5848</v>
      </c>
      <c r="V133" s="40">
        <f>IF(H133="x",75+U133,IF(M133&lt;6.66,150+U133,-1.7384*M133^2+92.38*M133-388+U133))</f>
        <v>6301.84169984</v>
      </c>
      <c r="W133" s="5"/>
      <c r="X133" s="5"/>
      <c r="Y133" s="5"/>
      <c r="Z133" s="5"/>
      <c r="AA133" s="5"/>
      <c r="AB133" s="5"/>
      <c r="AC133" s="5">
        <v>13.98</v>
      </c>
      <c r="AD133" s="33">
        <v>55</v>
      </c>
      <c r="AE133" s="5">
        <f>IF(AD133=0,(W133+4*X133+2*Y133+4*Z133+AA133)*AC133/12+W133*AB133/1.5,AD133)</f>
        <v>55</v>
      </c>
      <c r="AF133" s="11">
        <v>15.8</v>
      </c>
      <c r="AG133" s="11"/>
      <c r="AH133" s="5">
        <f>IF(AC133=0,AE133+AF133*AG133/2,AE133+AC133*AG133/2)</f>
        <v>55</v>
      </c>
      <c r="AI133" s="5">
        <v>14.75</v>
      </c>
      <c r="AJ133" s="3"/>
      <c r="AK133" s="33">
        <v>21</v>
      </c>
      <c r="AL133" s="5">
        <f>IF(AK133=0,AI133*AJ133/2,AK133)</f>
        <v>21</v>
      </c>
      <c r="AM133" t="s" s="19">
        <v>154</v>
      </c>
      <c r="AN133" s="5"/>
      <c r="AO133" s="5"/>
      <c r="AP133" s="5">
        <f>AL133+AI133*(AN133-AO133)/2</f>
        <v>21</v>
      </c>
      <c r="AQ133" s="5">
        <f>0.1*(AE133+AL133)</f>
        <v>7.600000000000001</v>
      </c>
      <c r="AR133" s="11">
        <v>15.88</v>
      </c>
      <c r="AS133" s="11"/>
      <c r="AT133" s="11"/>
      <c r="AU133" s="11"/>
      <c r="AV133" s="33">
        <v>80</v>
      </c>
      <c r="AW133" s="5">
        <f>IF(AV133=0,AS133/6*(AT133+AU133*4),AV133)</f>
        <v>80</v>
      </c>
      <c r="AX133" s="11">
        <v>0.39</v>
      </c>
      <c r="AY133" s="5">
        <f>IF(AX133&lt;0.149*M133+0.329,1,AX133/(0.149*M133+0.329))</f>
        <v>1</v>
      </c>
      <c r="AZ133" s="5">
        <f>IF(AW133*AY133&gt;AL133,(AW133*AY133-AL133)/4,0)</f>
        <v>14.75</v>
      </c>
      <c r="BA133" s="12">
        <f>0.401+0.1831*(2*AR133^2/(AH133+AP133+AZ133))-0.02016*(2*AR133^2/(AH133+AP133+AZ133))^2+0.0007472*(2*AR133^2/(AH133+AP133+AZ133))^3</f>
        <v>0.9241774500390366</v>
      </c>
      <c r="BB133" s="3"/>
      <c r="BC133" s="3"/>
      <c r="BD133" s="3"/>
      <c r="BE133" s="3"/>
      <c r="BF133" s="33">
        <v>95</v>
      </c>
      <c r="BG133" s="5">
        <f>IF(BF133=0,(BC133+BD133)*(BB133/12+BE133/3),BF133)</f>
        <v>95</v>
      </c>
      <c r="BH133" s="5">
        <f>IF(BG133*AY133&gt;AL133+AZ133,BG133*AY133-AL133-AZ133,0)</f>
        <v>59.25</v>
      </c>
      <c r="BI133" s="5">
        <f>IF(M133/1.6&lt;8,ROUND(M133/1.6,0),8)</f>
        <v>7</v>
      </c>
      <c r="BJ133" s="5">
        <f>(AH133+AP133+AZ133)*BA133+0.1*BH133</f>
        <v>89.79410359104257</v>
      </c>
      <c r="BK133" s="11">
        <v>1.97</v>
      </c>
      <c r="BL133" s="5">
        <f>M133*0.2</f>
        <v>2.336</v>
      </c>
      <c r="BM133" s="5">
        <f>ROUNDDOWN(M133/2.13,0)</f>
        <v>5</v>
      </c>
      <c r="BN133" s="12">
        <f>M133/4.26</f>
        <v>2.741784037558685</v>
      </c>
      <c r="BO133" s="5">
        <f>IF(M133&lt;8,1.22,IF(M133&lt;15.2,0.108333*M133+0.353,2))</f>
        <v>1.61832944</v>
      </c>
      <c r="BP133" s="12">
        <f>IF(BK133&lt;BO133,1+0.3*(BO133-BK133)/M133,1)</f>
        <v>1</v>
      </c>
      <c r="BQ133" s="39">
        <v>7</v>
      </c>
      <c r="BR133" s="39">
        <v>2</v>
      </c>
      <c r="BS133" s="36"/>
      <c r="BT133" s="36"/>
      <c r="BU133" t="s" s="24">
        <v>154</v>
      </c>
      <c r="BV133" s="5">
        <f>IF(BQ133&lt;(M133/0.3048)^0.5,1,IF(BU133="x",1-BR133*0.02,IF(BT133="x",1-BR133*0.01,1)))</f>
        <v>0.96</v>
      </c>
      <c r="BW133" s="12">
        <f>IF(K133="x",MIN(1.315,1.28+U133*N133/BJ133/AR133/1100),IF(L133="x",1.28,MAX(1.245,1.28-U133*N133/BJ133/AR133/1100)))</f>
        <v>1.245</v>
      </c>
      <c r="BX133" s="41">
        <f>BW133*T133*BV133*BP133*N133^0.3*BJ133^0.4/V133^0.325</f>
        <v>0.9119411028378889</v>
      </c>
      <c r="BY133" s="29"/>
      <c r="BZ133" s="29"/>
      <c r="CA133" t="s" s="19">
        <v>954</v>
      </c>
      <c r="CB133" s="70">
        <v>40299</v>
      </c>
      <c r="CC133" t="s" s="19">
        <v>180</v>
      </c>
      <c r="CD133" s="3"/>
      <c r="CE133" s="3"/>
      <c r="CF133" s="3"/>
      <c r="CG133" t="s" s="30">
        <f>A133</f>
        <v>955</v>
      </c>
    </row>
    <row r="134" ht="12.75" customHeight="1">
      <c r="A134" t="s" s="25">
        <v>956</v>
      </c>
      <c r="B134" t="s" s="19">
        <v>542</v>
      </c>
      <c r="C134" t="s" s="19">
        <v>344</v>
      </c>
      <c r="D134" t="s" s="19">
        <v>345</v>
      </c>
      <c r="E134" t="s" s="19">
        <v>957</v>
      </c>
      <c r="F134" s="3"/>
      <c r="G134" s="3"/>
      <c r="H134" s="32"/>
      <c r="I134" s="32"/>
      <c r="J134" s="36"/>
      <c r="K134" t="s" s="24">
        <v>154</v>
      </c>
      <c r="L134" s="36"/>
      <c r="M134" s="11">
        <v>8.25</v>
      </c>
      <c r="N134" s="5">
        <v>8</v>
      </c>
      <c r="O134" s="11"/>
      <c r="P134" s="11"/>
      <c r="Q134" s="37"/>
      <c r="R134" t="s" s="24">
        <v>161</v>
      </c>
      <c r="S134" s="36"/>
      <c r="T134" s="38">
        <f>IF(S134&gt;0,1.048,IF(R134&gt;0,1.048,IF(Q134&gt;0,1.036,0.907+1.55*(P134/N134)-4.449*(P134/N134)^2)))</f>
        <v>1.048</v>
      </c>
      <c r="U134" s="39">
        <v>1514</v>
      </c>
      <c r="V134" s="40">
        <f>IF(H134="x",75+U134,IF(M134&lt;6.66,150+U134,-1.7384*M134^2+92.38*M134-388+U134))</f>
        <v>1769.81515</v>
      </c>
      <c r="W134" s="5">
        <v>3.82</v>
      </c>
      <c r="X134" s="5">
        <v>3.6</v>
      </c>
      <c r="Y134" s="5">
        <v>3.08</v>
      </c>
      <c r="Z134" s="5">
        <v>2.2</v>
      </c>
      <c r="AA134" s="5">
        <v>0.5600000000000001</v>
      </c>
      <c r="AB134" s="5"/>
      <c r="AC134" s="5">
        <v>10.13</v>
      </c>
      <c r="AD134" s="33"/>
      <c r="AE134" s="5">
        <f>IF(AD134=0,(W134+4*X134+2*Y134+4*Z134+AA134)*AC134/12+W134*AB134/1.5,AD134)</f>
        <v>28.48218333333334</v>
      </c>
      <c r="AF134" s="11"/>
      <c r="AG134" s="11"/>
      <c r="AH134" s="5">
        <f>IF(AC134=0,AE134+AF134*AG134/2,AE134+AC134*AG134/2)</f>
        <v>28.48218333333334</v>
      </c>
      <c r="AI134" s="5">
        <v>9.949999999999999</v>
      </c>
      <c r="AJ134" s="5">
        <v>2.8</v>
      </c>
      <c r="AK134" s="33"/>
      <c r="AL134" s="5">
        <f>IF(AK134=0,AI134*AJ134/2,AK134)</f>
        <v>13.93</v>
      </c>
      <c r="AM134" s="3"/>
      <c r="AN134" s="5"/>
      <c r="AO134" s="5"/>
      <c r="AP134" s="5">
        <f>AL134+AI134*(AN134-AO134)/2</f>
        <v>13.93</v>
      </c>
      <c r="AQ134" s="5">
        <f>0.1*(AE134+AL134)</f>
        <v>4.241218333333334</v>
      </c>
      <c r="AR134" s="11">
        <v>11.1</v>
      </c>
      <c r="AS134" s="11"/>
      <c r="AT134" s="11"/>
      <c r="AU134" s="11"/>
      <c r="AV134" s="33"/>
      <c r="AW134" s="5">
        <f>IF(AV134=0,AS134/6*(AT134+AU134*4),AV134)</f>
        <v>0</v>
      </c>
      <c r="AX134" s="11">
        <v>1.8</v>
      </c>
      <c r="AY134" s="5">
        <f>IF(AX134&lt;0.149*M134+0.329,1,AX134/(0.149*M134+0.329))</f>
        <v>1.155141986202471</v>
      </c>
      <c r="AZ134" s="5">
        <f>IF(AW134*AY134&gt;AL134,(AW134*AY134-AL134)/4,0)</f>
        <v>0</v>
      </c>
      <c r="BA134" s="12">
        <f>0.401+0.1831*(2*AR134^2/(AH134+AP134+AZ134))-0.02016*(2*AR134^2/(AH134+AP134+AZ134))^2+0.0007472*(2*AR134^2/(AH134+AP134+AZ134))^3</f>
        <v>0.9308340988717444</v>
      </c>
      <c r="BB134" s="3"/>
      <c r="BC134" s="3"/>
      <c r="BD134" s="3"/>
      <c r="BE134" s="3"/>
      <c r="BF134" s="33">
        <v>52</v>
      </c>
      <c r="BG134" s="5">
        <f>IF(BF134=0,(BC134+BD134)*(BB134/12+BE134/3),BF134)</f>
        <v>52</v>
      </c>
      <c r="BH134" s="5">
        <f>IF(BG134*AY134&gt;AL134+AZ134,BG134*AY134-AL134-AZ134,0)</f>
        <v>46.13738328252848</v>
      </c>
      <c r="BI134" s="5">
        <f>IF(M134/1.6&lt;8,ROUND(M134/1.6,0),8)</f>
        <v>5</v>
      </c>
      <c r="BJ134" s="5">
        <f>(AH134+AP134+AZ134)*BA134+0.1*BH134</f>
        <v>44.09244478251941</v>
      </c>
      <c r="BK134" s="11">
        <v>1.65</v>
      </c>
      <c r="BL134" s="5">
        <f>M134*0.2</f>
        <v>1.65</v>
      </c>
      <c r="BM134" s="5">
        <f>ROUNDDOWN(M134/2.13,0)</f>
        <v>3</v>
      </c>
      <c r="BN134" s="12">
        <f>M134/4.26</f>
        <v>1.936619718309859</v>
      </c>
      <c r="BO134" s="5">
        <f>IF(M134&lt;8,1.22,IF(M134&lt;15.2,0.108333*M134+0.353,2))</f>
        <v>1.24674725</v>
      </c>
      <c r="BP134" s="12">
        <f>IF(BK134&lt;BO134,1+0.3*(BO134-BK134)/M134,1)</f>
        <v>1</v>
      </c>
      <c r="BQ134" s="32"/>
      <c r="BR134" s="39">
        <v>0</v>
      </c>
      <c r="BS134" t="s" s="24">
        <v>154</v>
      </c>
      <c r="BT134" s="36"/>
      <c r="BU134" s="36"/>
      <c r="BV134" s="5">
        <f>IF(BQ134&lt;(M134/0.3048)^0.5,1,IF(BU134="x",1-BR134*0.02,IF(BT134="x",1-BR134*0.01,1)))</f>
        <v>1</v>
      </c>
      <c r="BW134" s="12">
        <f>IF(K134="x",MIN(1.315,1.28+U134*N134/BJ134/AR134/1100),IF(L134="x",1.28,MAX(1.245,1.28-U134*N134/BJ134/AR134/1100)))</f>
        <v>1.302497591069549</v>
      </c>
      <c r="BX134" s="41">
        <f>BW134*T134*BV134*BP134*N134^0.3*BJ134^0.4/V134^0.325</f>
        <v>1.019141083434322</v>
      </c>
      <c r="BY134" s="29"/>
      <c r="BZ134" s="29"/>
      <c r="CA134" t="s" s="19">
        <v>509</v>
      </c>
      <c r="CB134" t="s" s="19">
        <v>510</v>
      </c>
      <c r="CC134" t="s" s="19">
        <v>254</v>
      </c>
      <c r="CD134" t="s" s="19">
        <v>483</v>
      </c>
      <c r="CE134" s="3"/>
      <c r="CF134" s="3"/>
      <c r="CG134" t="s" s="30">
        <f>A134</f>
        <v>958</v>
      </c>
    </row>
    <row r="135" ht="12.75" customHeight="1">
      <c r="A135" t="s" s="25">
        <v>959</v>
      </c>
      <c r="B135" t="s" s="19">
        <v>960</v>
      </c>
      <c r="C135" t="s" s="19">
        <v>242</v>
      </c>
      <c r="D135" t="s" s="19">
        <v>185</v>
      </c>
      <c r="E135" t="s" s="19">
        <v>313</v>
      </c>
      <c r="F135" s="4"/>
      <c r="G135" s="4"/>
      <c r="H135" s="3"/>
      <c r="I135" s="3"/>
      <c r="J135" t="s" s="22">
        <v>154</v>
      </c>
      <c r="K135" s="71"/>
      <c r="L135" s="71"/>
      <c r="M135" s="11">
        <v>11.6</v>
      </c>
      <c r="N135" s="15">
        <v>11.3</v>
      </c>
      <c r="O135" s="11">
        <v>6.63</v>
      </c>
      <c r="P135" s="11">
        <v>1.15</v>
      </c>
      <c r="Q135" s="72"/>
      <c r="R135" s="71"/>
      <c r="S135" s="71"/>
      <c r="T135" s="38">
        <f>IF(S135&gt;0,1.048,IF(R135&gt;0,1.048,IF(Q135&gt;0,1.036,0.907+1.55*(P135/N135)-4.449*(P135/N135)^2)))</f>
        <v>1.018664558696844</v>
      </c>
      <c r="U135" s="39">
        <v>5900</v>
      </c>
      <c r="V135" s="45">
        <f>IF(H135="x",75+U135,IF(M135&lt;6.66,150+U135,-1.7384*M135^2+92.38*M135-388+U135))</f>
        <v>6349.688896</v>
      </c>
      <c r="W135" s="9"/>
      <c r="X135" s="9"/>
      <c r="Y135" s="9"/>
      <c r="Z135" s="9"/>
      <c r="AA135" s="9"/>
      <c r="AB135" s="9"/>
      <c r="AC135" s="9"/>
      <c r="AD135" s="73">
        <v>47</v>
      </c>
      <c r="AE135" s="5">
        <f>IF(AD135=0,(W135+4*X135+2*Y135+4*Z135+AA135)*AC135/12+W135*AB135/1.5,AD135)</f>
        <v>47</v>
      </c>
      <c r="AF135" s="5"/>
      <c r="AG135" s="5"/>
      <c r="AH135" s="5">
        <f>IF(AC135=0,AE135+AF135*AG135/2,AE135+AC135*AG135/2)</f>
        <v>47</v>
      </c>
      <c r="AI135" s="9"/>
      <c r="AJ135" s="9"/>
      <c r="AK135" s="73">
        <v>36</v>
      </c>
      <c r="AL135" s="5">
        <f>IF(AK135=0,AI135*AJ135/2,AK135)</f>
        <v>36</v>
      </c>
      <c r="AM135" s="32"/>
      <c r="AN135" s="11"/>
      <c r="AO135" s="11"/>
      <c r="AP135" s="5">
        <f>AL135+AI135*(AN135-AO135)/2</f>
        <v>36</v>
      </c>
      <c r="AQ135" s="5">
        <f>0.1*(AE135+AL135)</f>
        <v>8.300000000000001</v>
      </c>
      <c r="AR135" s="11">
        <v>15.8</v>
      </c>
      <c r="AS135" s="11"/>
      <c r="AT135" s="11"/>
      <c r="AU135" s="11"/>
      <c r="AV135" s="5"/>
      <c r="AW135" s="5">
        <f>IF(AV135=0,AS135/6*(AT135+AU135*4),AV135)</f>
        <v>0</v>
      </c>
      <c r="AX135" s="5">
        <v>0</v>
      </c>
      <c r="AY135" s="5">
        <f>IF(AX135&lt;0.149*M135+0.329,1,AX135/(0.149*M135+0.329))</f>
        <v>1</v>
      </c>
      <c r="AZ135" s="5">
        <f>IF(AW135*AY135&gt;AL135,(AW135*AY135-AL135)/4,0)</f>
        <v>0</v>
      </c>
      <c r="BA135" s="12">
        <f>0.401+0.1831*(2*AR135^2/(AH135+AP135+AZ135))-0.02016*(2*AR135^2/(AH135+AP135+AZ135))^2+0.0007472*(2*AR135^2/(AH135+AP135+AZ135))^3</f>
        <v>0.9355709963106491</v>
      </c>
      <c r="BB135" s="9"/>
      <c r="BC135" s="9"/>
      <c r="BD135" s="9"/>
      <c r="BE135" s="9"/>
      <c r="BF135" s="73">
        <v>120</v>
      </c>
      <c r="BG135" s="5">
        <f>IF(BF135=0,(BC135+BD135)*(BB135/12+BE135/3),BF135)</f>
        <v>120</v>
      </c>
      <c r="BH135" s="5">
        <f>IF(BG135*AY135&gt;AL135+AZ135,BG135*AY135-AL135-AZ135,0)</f>
        <v>84</v>
      </c>
      <c r="BI135" s="5">
        <f>IF(M135/1.6&lt;8,ROUND(M135/1.6,0),8)</f>
        <v>7</v>
      </c>
      <c r="BJ135" s="15">
        <f>(AH135+AP135+AZ135)*BA135+0.1*BH135</f>
        <v>86.05239269378389</v>
      </c>
      <c r="BK135" s="11">
        <v>2</v>
      </c>
      <c r="BL135" s="5">
        <f>M135*0.2</f>
        <v>2.32</v>
      </c>
      <c r="BM135" s="5">
        <f>ROUNDDOWN(M135/2.13,0)</f>
        <v>5</v>
      </c>
      <c r="BN135" s="12">
        <f>M135/4.26</f>
        <v>2.723004694835681</v>
      </c>
      <c r="BO135" s="5">
        <f>IF(M135&lt;8,1.22,IF(M135&lt;15.2,0.108333*M135+0.353,2))</f>
        <v>1.6096628</v>
      </c>
      <c r="BP135" s="7">
        <f>IF(BK135&lt;BO135,1+0.3*(BO135-BK135)/M135,1)</f>
        <v>1</v>
      </c>
      <c r="BQ135" s="39">
        <v>7.5</v>
      </c>
      <c r="BR135" s="39">
        <v>2</v>
      </c>
      <c r="BS135" s="71"/>
      <c r="BT135" t="s" s="22">
        <v>154</v>
      </c>
      <c r="BU135" s="71"/>
      <c r="BV135" s="15">
        <f>IF(BQ135&lt;(M135/0.3048)^0.5,1,IF(BU135="x",1-BR135*0.02,IF(BT135="x",1-BR135*0.01,1)))</f>
        <v>0.98</v>
      </c>
      <c r="BW135" s="7">
        <f>IF(K135="x",MIN(1.315,1.28+U135*N135/BJ135/AR135/1100),IF(L135="x",1.28,MAX(1.245,1.28-U135*N135/BJ135/AR135/1100)))</f>
        <v>1.245</v>
      </c>
      <c r="BX135" s="41">
        <f>BW135*T135*BV135*BP135*N135^0.3*BJ135^0.4/V135^0.325</f>
        <v>0.8878933256569579</v>
      </c>
      <c r="BY135" s="8"/>
      <c r="BZ135" s="8"/>
      <c r="CA135" t="s" s="31">
        <v>213</v>
      </c>
      <c r="CB135" t="s" s="31">
        <v>961</v>
      </c>
      <c r="CC135" t="s" s="19">
        <v>653</v>
      </c>
      <c r="CD135" s="3"/>
      <c r="CE135" s="3"/>
      <c r="CF135" s="3"/>
      <c r="CG135" t="s" s="30">
        <f>A135</f>
        <v>962</v>
      </c>
    </row>
    <row r="136" ht="12.75" customHeight="1">
      <c r="A136" t="s" s="25">
        <v>963</v>
      </c>
      <c r="B136" t="s" s="19">
        <v>964</v>
      </c>
      <c r="C136" t="s" s="19">
        <v>242</v>
      </c>
      <c r="D136" t="s" s="19">
        <v>243</v>
      </c>
      <c r="E136" t="s" s="19">
        <v>965</v>
      </c>
      <c r="F136" t="s" s="19">
        <v>966</v>
      </c>
      <c r="G136" s="3"/>
      <c r="H136" s="32"/>
      <c r="I136" s="32"/>
      <c r="J136" t="s" s="24">
        <v>154</v>
      </c>
      <c r="K136" s="36"/>
      <c r="L136" s="36"/>
      <c r="M136" s="11">
        <v>13.61</v>
      </c>
      <c r="N136" s="5">
        <v>13.18</v>
      </c>
      <c r="O136" s="11">
        <v>7.7</v>
      </c>
      <c r="P136" s="11">
        <v>1.3</v>
      </c>
      <c r="Q136" s="37"/>
      <c r="R136" s="36"/>
      <c r="S136" s="36"/>
      <c r="T136" s="38">
        <f>IF(S136&gt;0,1.048,IF(R136&gt;0,1.048,IF(Q136&gt;0,1.036,0.907+1.55*(P136/N136)-4.449*(P136/N136)^2)))</f>
        <v>1.01660006309279</v>
      </c>
      <c r="U136" s="39">
        <v>10500</v>
      </c>
      <c r="V136" s="40">
        <f>IF(H136="x",75+U136,IF(M136&lt;6.66,150+U136,-1.7384*M136^2+92.38*M136-388+U136))</f>
        <v>11047.28431736</v>
      </c>
      <c r="W136" s="5"/>
      <c r="X136" s="5"/>
      <c r="Y136" s="5"/>
      <c r="Z136" s="5"/>
      <c r="AA136" s="5"/>
      <c r="AB136" s="5"/>
      <c r="AC136" s="5"/>
      <c r="AD136" s="33">
        <v>71.5</v>
      </c>
      <c r="AE136" s="5">
        <f>IF(AD136=0,(W136+4*X136+2*Y136+4*Z136+AA136)*AC136/12+W136*AB136/1.5,AD136)</f>
        <v>71.5</v>
      </c>
      <c r="AF136" s="11">
        <v>17.3</v>
      </c>
      <c r="AG136" s="11"/>
      <c r="AH136" s="5">
        <f>IF(AC136=0,AE136+AF136*AG136/2,AE136+AC136*AG136/2)</f>
        <v>71.5</v>
      </c>
      <c r="AI136" s="3"/>
      <c r="AJ136" s="3"/>
      <c r="AK136" s="33">
        <v>48</v>
      </c>
      <c r="AL136" s="5">
        <f>IF(AK136=0,AI136*AJ136/2,AK136)</f>
        <v>48</v>
      </c>
      <c r="AM136" s="3"/>
      <c r="AN136" s="5"/>
      <c r="AO136" s="5">
        <v>0.15</v>
      </c>
      <c r="AP136" s="5">
        <f>AL136+AI136*(AN136-AO136)/2</f>
        <v>48</v>
      </c>
      <c r="AQ136" s="5">
        <f>0.1*(AE136+AL136)</f>
        <v>11.95</v>
      </c>
      <c r="AR136" s="11">
        <v>16.05</v>
      </c>
      <c r="AS136" s="11"/>
      <c r="AT136" s="11"/>
      <c r="AU136" s="11"/>
      <c r="AV136" s="33"/>
      <c r="AW136" s="5">
        <f>IF(AV136=0,AS136/6*(AT136+AU136*4),AV136)</f>
        <v>0</v>
      </c>
      <c r="AX136" s="11"/>
      <c r="AY136" s="5">
        <f>IF(AX136&lt;0.149*M136+0.329,1,AX136/(0.149*M136+0.329))</f>
        <v>1</v>
      </c>
      <c r="AZ136" s="5">
        <f>IF(AW136*AY136&gt;AL136,(AW136*AY136-AL136)/4,0)</f>
        <v>0</v>
      </c>
      <c r="BA136" s="12">
        <f>0.401+0.1831*(2*AR136^2/(AH136+AP136+AZ136))-0.02016*(2*AR136^2/(AH136+AP136+AZ136))^2+0.0007472*(2*AR136^2/(AH136+AP136+AZ136))^3</f>
        <v>0.8755581043383061</v>
      </c>
      <c r="BB136" s="3"/>
      <c r="BC136" s="3"/>
      <c r="BD136" s="3"/>
      <c r="BE136" s="3"/>
      <c r="BF136" s="33"/>
      <c r="BG136" s="5">
        <f>IF(BF136=0,(BC136+BD136)*(BB136/12+BE136/3),BF136)</f>
        <v>0</v>
      </c>
      <c r="BH136" s="5">
        <f>IF(BG136*AY136&gt;AL136+AZ136,BG136*AY136-AL136-AZ136,0)</f>
        <v>0</v>
      </c>
      <c r="BI136" s="42">
        <f>IF(M136/1.6&lt;8,ROUND(M136/1.6,0),8)</f>
        <v>8</v>
      </c>
      <c r="BJ136" s="5">
        <f>(AH136+AP136+AZ136)*BA136+0.1*BH136</f>
        <v>104.6291934684276</v>
      </c>
      <c r="BK136" s="11">
        <v>2</v>
      </c>
      <c r="BL136" s="5">
        <f>M136*0.2</f>
        <v>2.722</v>
      </c>
      <c r="BM136" s="5">
        <f>ROUNDDOWN(M136/2.13,0)</f>
        <v>6</v>
      </c>
      <c r="BN136" s="12">
        <f>M136/4.26</f>
        <v>3.194835680751174</v>
      </c>
      <c r="BO136" s="5">
        <f>IF(M136&lt;8,1.22,IF(M136&lt;15.2,0.108333*M136+0.353,2))</f>
        <v>1.82741213</v>
      </c>
      <c r="BP136" s="12">
        <f>IF(BK136&lt;BO136,1+0.3*(BO136-BK136)/M136,1)</f>
        <v>1</v>
      </c>
      <c r="BQ136" s="39">
        <v>7.5</v>
      </c>
      <c r="BR136" s="39">
        <v>2</v>
      </c>
      <c r="BS136" s="36"/>
      <c r="BT136" s="36"/>
      <c r="BU136" t="s" s="24">
        <v>154</v>
      </c>
      <c r="BV136" s="5">
        <f>IF(BQ136&lt;(M136/0.3048)^0.5,1,IF(BU136="x",1-BR136*0.02,IF(BT136="x",1-BR136*0.01,1)))</f>
        <v>0.96</v>
      </c>
      <c r="BW136" s="12">
        <f>IF(K136="x",MIN(1.315,1.28+U136*N136/BJ136/AR136/1100),IF(L136="x",1.28,MAX(1.245,1.28-U136*N136/BJ136/AR136/1100)))</f>
        <v>1.245</v>
      </c>
      <c r="BX136" s="41">
        <f>BW136*T136*BV136*BP136*N136^0.3*BJ136^0.4/V136^0.325</f>
        <v>0.8210478028017419</v>
      </c>
      <c r="BY136" s="29"/>
      <c r="BZ136" s="29"/>
      <c r="CA136" s="3"/>
      <c r="CB136" s="3"/>
      <c r="CC136" s="3"/>
      <c r="CD136" s="3"/>
      <c r="CE136" s="3"/>
      <c r="CF136" s="3"/>
      <c r="CG136" t="s" s="30">
        <f>A136</f>
        <v>967</v>
      </c>
    </row>
    <row r="137" ht="12.75" customHeight="1">
      <c r="A137" t="s" s="53">
        <v>968</v>
      </c>
      <c r="B137" t="s" s="54">
        <v>969</v>
      </c>
      <c r="C137" s="55"/>
      <c r="D137" s="55"/>
      <c r="E137" t="s" s="54">
        <v>970</v>
      </c>
      <c r="F137" s="74"/>
      <c r="G137" t="s" s="75">
        <v>971</v>
      </c>
      <c r="H137" s="56"/>
      <c r="I137" s="56"/>
      <c r="J137" t="s" s="58">
        <v>154</v>
      </c>
      <c r="K137" s="57"/>
      <c r="L137" s="57"/>
      <c r="M137" s="59">
        <v>8</v>
      </c>
      <c r="N137" s="76">
        <v>8</v>
      </c>
      <c r="O137" s="59">
        <v>5.3</v>
      </c>
      <c r="P137" s="59"/>
      <c r="Q137" s="61"/>
      <c r="R137" s="77">
        <v>1.56</v>
      </c>
      <c r="S137" s="57"/>
      <c r="T137" s="63">
        <f>IF(S137&gt;0,1.048,IF(R137&gt;0,1.048,IF(Q137&gt;0,1.036,0.907+1.55*(P137/N137)-4.449*(P137/N137)^2)))</f>
        <v>1.048</v>
      </c>
      <c r="U137" s="62">
        <v>814</v>
      </c>
      <c r="V137" s="78">
        <f>IF(H137="x",75+U137,IF(M137&lt;6.66,150+U137,-1.7384*M137^2+92.38*M137-388+U137))</f>
        <v>1053.7824</v>
      </c>
      <c r="W137" s="79">
        <v>3.57</v>
      </c>
      <c r="X137" s="79">
        <v>3.17</v>
      </c>
      <c r="Y137" s="79">
        <v>2.57</v>
      </c>
      <c r="Z137" s="79">
        <v>1.74</v>
      </c>
      <c r="AA137" s="79">
        <v>0.8</v>
      </c>
      <c r="AB137" s="79">
        <v>0.12</v>
      </c>
      <c r="AC137" s="79">
        <v>10.67</v>
      </c>
      <c r="AD137" s="65"/>
      <c r="AE137" s="60">
        <f>IF(AD137=0,(W137+4*X137+2*Y137+4*Z137+AA137)*AC137/12+W137*AB137/1.5,AD137)</f>
        <v>26.20480833333333</v>
      </c>
      <c r="AF137" s="59"/>
      <c r="AG137" s="59">
        <v>0.53</v>
      </c>
      <c r="AH137" s="60">
        <f>IF(AC137=0,AE137+AF137*AG137/2,AE137+AC137*AG137/2)</f>
        <v>29.03235833333333</v>
      </c>
      <c r="AI137" s="79">
        <v>8.57</v>
      </c>
      <c r="AJ137" s="79">
        <v>2.11</v>
      </c>
      <c r="AK137" s="65"/>
      <c r="AL137" s="60">
        <f>IF(AK137=0,AI137*AJ137/2,AK137)</f>
        <v>9.04135</v>
      </c>
      <c r="AM137" s="56"/>
      <c r="AN137" s="59">
        <v>0.06</v>
      </c>
      <c r="AO137" s="59"/>
      <c r="AP137" s="60">
        <f>AL137+AI137*(AN137-AO137)/2</f>
        <v>9.298449999999999</v>
      </c>
      <c r="AQ137" s="60">
        <f>0.1*(AE137+AL137)</f>
        <v>3.524615833333334</v>
      </c>
      <c r="AR137" s="59">
        <v>12.35</v>
      </c>
      <c r="AS137" s="59"/>
      <c r="AT137" s="59"/>
      <c r="AU137" s="59"/>
      <c r="AV137" s="65"/>
      <c r="AW137" s="5">
        <f>IF(AV137=0,AS137/6*(AT137+AU137*4),AV137)</f>
        <v>0</v>
      </c>
      <c r="AX137" s="59">
        <v>1.38</v>
      </c>
      <c r="AY137" s="60">
        <f>IF(AX137&lt;0.149*M137+0.329,1,AX137/(0.149*M137+0.329))</f>
        <v>1</v>
      </c>
      <c r="AZ137" s="5">
        <f>IF(AW137*AY137&gt;AL137,(AW137*AY137-AL137)/4,0)</f>
        <v>0</v>
      </c>
      <c r="BA137" s="66">
        <f>0.401+0.1831*(2*AR137^2/(AH137+AP137+AZ137))-0.02016*(2*AR137^2/(AH137+AP137+AZ137))^2+0.0007472*(2*AR137^2/(AH137+AP137+AZ137))^3</f>
        <v>0.9579552369039183</v>
      </c>
      <c r="BB137" s="79">
        <v>6</v>
      </c>
      <c r="BC137" s="79">
        <v>10.8</v>
      </c>
      <c r="BD137" s="79">
        <v>8.699999999999999</v>
      </c>
      <c r="BE137" s="79">
        <v>5.9</v>
      </c>
      <c r="BF137" s="65"/>
      <c r="BG137" s="60">
        <f>IF(BF137=0,(BC137+BD137)*(BB137/12+BE137/3),BF137)</f>
        <v>48.1</v>
      </c>
      <c r="BH137" s="60">
        <f>IF(BG137*AY137&gt;AL137+AZ137,BG137*AY137-AL137-AZ137,0)</f>
        <v>39.05865</v>
      </c>
      <c r="BI137" s="60">
        <f>IF(M137/1.6&lt;8,ROUND(M137/1.6,0),8)</f>
        <v>5</v>
      </c>
      <c r="BJ137" s="76">
        <f>(AH137+AP137+AZ137)*BA137+0.1*BH137</f>
        <v>40.62506357767701</v>
      </c>
      <c r="BK137" s="59">
        <v>1.46</v>
      </c>
      <c r="BL137" s="60">
        <f>M137*0.2</f>
        <v>1.6</v>
      </c>
      <c r="BM137" s="60">
        <f>ROUNDDOWN(M137/2.13,0)</f>
        <v>3</v>
      </c>
      <c r="BN137" s="66">
        <f>M137/4.26</f>
        <v>1.877934272300469</v>
      </c>
      <c r="BO137" s="60">
        <f>IF(M137&lt;8,1.22,IF(M137&lt;15.2,0.108333*M137+0.353,2))</f>
        <v>1.219664</v>
      </c>
      <c r="BP137" s="80">
        <f>IF(BK137&lt;BO137,1+0.3*(BO137-BK137)/M137,1)</f>
        <v>1</v>
      </c>
      <c r="BQ137" s="56"/>
      <c r="BR137" s="56"/>
      <c r="BS137" t="s" s="58">
        <v>154</v>
      </c>
      <c r="BT137" s="57"/>
      <c r="BU137" s="57"/>
      <c r="BV137" s="76">
        <f>IF(BQ137&lt;(M137/0.3048)^0.5,1,IF(BU137="x",1-BR137*0.02,IF(BT137="x",1-BR137*0.01,1)))</f>
        <v>1</v>
      </c>
      <c r="BW137" s="80">
        <f>IF(K137="x",MIN(1.315,1.28+U137*N137/BJ137/AR137/1100),IF(L137="x",1.28,MAX(1.245,1.28-U137*N137/BJ137/AR137/1100)))</f>
        <v>1.268200579038994</v>
      </c>
      <c r="BX137" s="67">
        <f>BW137*T137*BV137*BP137*N137^0.3*BJ137^0.4/V137^0.325</f>
        <v>1.136579429303012</v>
      </c>
      <c r="BY137" s="8"/>
      <c r="BZ137" s="8"/>
      <c r="CA137" t="s" s="75">
        <v>589</v>
      </c>
      <c r="CB137" s="81">
        <v>37446</v>
      </c>
      <c r="CC137" t="s" s="19">
        <v>254</v>
      </c>
      <c r="CD137" s="3"/>
      <c r="CE137" s="3"/>
      <c r="CF137" s="3"/>
      <c r="CG137" t="s" s="30">
        <f>A137</f>
        <v>972</v>
      </c>
    </row>
    <row r="138" ht="12.75" customHeight="1">
      <c r="A138" t="s" s="25">
        <v>973</v>
      </c>
      <c r="B138" t="s" s="19">
        <v>748</v>
      </c>
      <c r="C138" t="s" s="19">
        <v>242</v>
      </c>
      <c r="D138" t="s" s="19">
        <v>185</v>
      </c>
      <c r="E138" t="s" s="19">
        <v>313</v>
      </c>
      <c r="F138" s="3"/>
      <c r="G138" s="3"/>
      <c r="H138" s="32"/>
      <c r="I138" s="32"/>
      <c r="J138" t="s" s="24">
        <v>154</v>
      </c>
      <c r="K138" s="36"/>
      <c r="L138" s="36"/>
      <c r="M138" s="11">
        <v>12.37</v>
      </c>
      <c r="N138" s="5">
        <v>12.27</v>
      </c>
      <c r="O138" s="11">
        <v>7.09</v>
      </c>
      <c r="P138" s="11">
        <v>1.2</v>
      </c>
      <c r="Q138" s="37"/>
      <c r="R138" s="36"/>
      <c r="S138" s="36"/>
      <c r="T138" s="38">
        <f>IF(S138&gt;0,1.048,IF(R138&gt;0,1.048,IF(Q138&gt;0,1.036,0.907+1.55*(P138/N138)-4.449*(P138/N138)^2)))</f>
        <v>1.01603569443033</v>
      </c>
      <c r="U138" s="39">
        <v>7500</v>
      </c>
      <c r="V138" s="40">
        <f>IF(H138="x",75+U138,IF(M138&lt;6.66,150+U138,-1.7384*M138^2+92.38*M138-388+U138))</f>
        <v>7988.73602104</v>
      </c>
      <c r="W138" s="5">
        <v>5.66</v>
      </c>
      <c r="X138" s="5"/>
      <c r="Y138" s="5"/>
      <c r="Z138" s="5"/>
      <c r="AA138" s="5"/>
      <c r="AB138" s="5"/>
      <c r="AC138" s="5">
        <v>14.41</v>
      </c>
      <c r="AD138" s="33">
        <v>53</v>
      </c>
      <c r="AE138" s="5">
        <f>IF(AD138=0,(W138+4*X138+2*Y138+4*Z138+AA138)*AC138/12+W138*AB138/1.5,AD138)</f>
        <v>53</v>
      </c>
      <c r="AF138" s="11">
        <v>15.85</v>
      </c>
      <c r="AG138" s="11"/>
      <c r="AH138" s="5">
        <f>IF(AC138=0,AE138+AF138*AG138/2,AE138+AC138*AG138/2)</f>
        <v>53</v>
      </c>
      <c r="AI138" s="3"/>
      <c r="AJ138" s="3"/>
      <c r="AK138" s="33">
        <v>36</v>
      </c>
      <c r="AL138" s="5">
        <f>IF(AK138=0,AI138*AJ138/2,AK138)</f>
        <v>36</v>
      </c>
      <c r="AM138" s="3"/>
      <c r="AN138" s="5"/>
      <c r="AO138" s="5"/>
      <c r="AP138" s="5">
        <f>AL138+AI138*(AN138-AO138)/2</f>
        <v>36</v>
      </c>
      <c r="AQ138" s="5">
        <f>0.1*(AE138+AL138)</f>
        <v>8.9</v>
      </c>
      <c r="AR138" s="11">
        <v>16.05</v>
      </c>
      <c r="AS138" s="11"/>
      <c r="AT138" s="11"/>
      <c r="AU138" s="11"/>
      <c r="AV138" s="33"/>
      <c r="AW138" s="5">
        <f>IF(AV138=0,AS138/6*(AT138+AU138*4),AV138)</f>
        <v>0</v>
      </c>
      <c r="AX138" s="11">
        <v>0</v>
      </c>
      <c r="AY138" s="5">
        <f>IF(AX138&lt;0.149*M138+0.329,1,AX138/(0.149*M138+0.329))</f>
        <v>1</v>
      </c>
      <c r="AZ138" s="5">
        <f>IF(AW138*AY138&gt;AL138,(AW138*AY138-AL138)/4,0)</f>
        <v>0</v>
      </c>
      <c r="BA138" s="12">
        <f>0.401+0.1831*(2*AR138^2/(AH138+AP138+AZ138))-0.02016*(2*AR138^2/(AH138+AP138+AZ138))^2+0.0007472*(2*AR138^2/(AH138+AP138+AZ138))^3</f>
        <v>0.9303087932256168</v>
      </c>
      <c r="BB138" s="3"/>
      <c r="BC138" s="3"/>
      <c r="BD138" s="3"/>
      <c r="BE138" s="3"/>
      <c r="BF138" s="33">
        <v>80</v>
      </c>
      <c r="BG138" s="5">
        <f>IF(BF138=0,(BC138+BD138)*(BB138/12+BE138/3),BF138)</f>
        <v>80</v>
      </c>
      <c r="BH138" s="5">
        <f>IF(BG138*AY138&gt;AL138+AZ138,BG138*AY138-AL138-AZ138,0)</f>
        <v>44</v>
      </c>
      <c r="BI138" s="5">
        <f>IF(M138/1.6&lt;8,ROUND(M138/1.6,0),8)</f>
        <v>8</v>
      </c>
      <c r="BJ138" s="5">
        <f>(AH138+AP138+AZ138)*BA138+0.1*BH138</f>
        <v>87.1974825970799</v>
      </c>
      <c r="BK138" s="11">
        <v>2</v>
      </c>
      <c r="BL138" s="5">
        <f>M138*0.2</f>
        <v>2.474</v>
      </c>
      <c r="BM138" s="5">
        <f>ROUNDDOWN(M138/2.13,0)</f>
        <v>5</v>
      </c>
      <c r="BN138" s="12">
        <f>M138/4.26</f>
        <v>2.903755868544601</v>
      </c>
      <c r="BO138" s="5">
        <f>IF(M138&lt;8,1.22,IF(M138&lt;15.2,0.108333*M138+0.353,2))</f>
        <v>1.69307921</v>
      </c>
      <c r="BP138" s="12">
        <f>IF(BK138&lt;BO138,1+0.3*(BO138-BK138)/M138,1)</f>
        <v>1</v>
      </c>
      <c r="BQ138" s="39">
        <v>7.5</v>
      </c>
      <c r="BR138" s="39">
        <v>2</v>
      </c>
      <c r="BS138" s="36"/>
      <c r="BT138" s="36"/>
      <c r="BU138" t="s" s="24">
        <v>154</v>
      </c>
      <c r="BV138" s="5">
        <f>IF(BQ138&lt;(M138/0.3048)^0.5,1,IF(BU138="x",1-BR138*0.02,IF(BT138="x",1-BR138*0.01,1)))</f>
        <v>0.96</v>
      </c>
      <c r="BW138" s="12">
        <f>IF(K138="x",MIN(1.315,1.28+U138*N138/BJ138/AR138/1100),IF(L138="x",1.28,MAX(1.245,1.28-U138*N138/BJ138/AR138/1100)))</f>
        <v>1.245</v>
      </c>
      <c r="BX138" s="41">
        <f>BW138*T138*BV138*BP138*N138^0.3*BJ138^0.4/V138^0.325</f>
        <v>0.8296580369419108</v>
      </c>
      <c r="BY138" s="29"/>
      <c r="BZ138" s="29"/>
      <c r="CA138" t="s" s="19">
        <v>313</v>
      </c>
      <c r="CB138" t="s" s="19">
        <v>314</v>
      </c>
      <c r="CC138" t="s" s="19">
        <v>180</v>
      </c>
      <c r="CD138" s="3"/>
      <c r="CE138" s="3"/>
      <c r="CF138" s="3"/>
      <c r="CG138" t="s" s="30">
        <f>A138</f>
        <v>974</v>
      </c>
    </row>
    <row r="139" ht="12.75" customHeight="1">
      <c r="A139" t="s" s="30">
        <v>975</v>
      </c>
      <c r="B139" t="s" s="31">
        <v>976</v>
      </c>
      <c r="C139" t="s" s="19">
        <v>304</v>
      </c>
      <c r="D139" t="s" s="19">
        <v>305</v>
      </c>
      <c r="E139" t="s" s="19">
        <v>977</v>
      </c>
      <c r="F139" s="4"/>
      <c r="G139" s="4"/>
      <c r="H139" s="32"/>
      <c r="I139" s="32"/>
      <c r="J139" t="s" s="24">
        <v>154</v>
      </c>
      <c r="K139" s="32"/>
      <c r="L139" s="32"/>
      <c r="M139" s="11">
        <v>12.7</v>
      </c>
      <c r="N139" s="15">
        <v>12.7</v>
      </c>
      <c r="O139" s="11">
        <v>6.4</v>
      </c>
      <c r="P139" s="37">
        <v>1</v>
      </c>
      <c r="Q139" s="11"/>
      <c r="R139" s="32"/>
      <c r="S139" s="32"/>
      <c r="T139" s="38">
        <f>IF(S139&gt;0,1.048,IF(R139&gt;0,1.048,IF(Q139&gt;0,1.036,0.907+1.55*(P139/N139)-4.449*(P139/N139)^2)))</f>
        <v>1.001463388926778</v>
      </c>
      <c r="U139" s="39">
        <v>6000</v>
      </c>
      <c r="V139" s="45">
        <f>IF(H139="x",75+U139,IF(M139&lt;6.66,150+U139,-1.7384*M139^2+92.38*M139-388+U139))</f>
        <v>6504.839464</v>
      </c>
      <c r="W139" s="11"/>
      <c r="X139" s="11"/>
      <c r="Y139" s="11"/>
      <c r="Z139" s="11"/>
      <c r="AA139" s="11"/>
      <c r="AB139" s="11"/>
      <c r="AC139" s="11"/>
      <c r="AD139" s="33">
        <v>49</v>
      </c>
      <c r="AE139" s="5">
        <v>50</v>
      </c>
      <c r="AF139" s="11">
        <v>16.7</v>
      </c>
      <c r="AG139" s="11"/>
      <c r="AH139" s="5">
        <f>IF(AC139=0,AE139+AF139*AG139/2,AE139+AC139*AG139/2)</f>
        <v>50</v>
      </c>
      <c r="AI139" s="11"/>
      <c r="AJ139" s="11"/>
      <c r="AK139" s="33">
        <v>36</v>
      </c>
      <c r="AL139" s="5">
        <v>30</v>
      </c>
      <c r="AM139" s="32"/>
      <c r="AN139" s="11"/>
      <c r="AO139" s="11"/>
      <c r="AP139" s="5">
        <f>AL139+AI139*(AN139-AO139)/2</f>
        <v>30</v>
      </c>
      <c r="AQ139" s="5">
        <f>0.1*(AE139+AL139)</f>
        <v>8</v>
      </c>
      <c r="AR139" s="11">
        <v>17.01</v>
      </c>
      <c r="AS139" s="11"/>
      <c r="AT139" s="11"/>
      <c r="AU139" s="11"/>
      <c r="AV139" s="33"/>
      <c r="AW139" s="5">
        <f>IF(AV139=0,AS139/6*(AT139+AU139*4),AV139)</f>
        <v>0</v>
      </c>
      <c r="AX139" s="11"/>
      <c r="AY139" s="5">
        <f>IF(AX139&lt;0.149*M139+0.329,1,AX139/(0.149*M139+0.329))</f>
        <v>1</v>
      </c>
      <c r="AZ139" s="5">
        <f>IF(AW139*AY139&gt;AL139,(AW139*AY139-AL139)/4,0)</f>
        <v>0</v>
      </c>
      <c r="BA139" s="12">
        <f>0.401+0.1831*(2*AR139^2/(AH139+AP139+AZ139))-0.02016*(2*AR139^2/(AH139+AP139+AZ139))^2+0.0007472*(2*AR139^2/(AH139+AP139+AZ139))^3</f>
        <v>0.9534135617657782</v>
      </c>
      <c r="BB139" s="11"/>
      <c r="BC139" s="11"/>
      <c r="BD139" s="11"/>
      <c r="BE139" s="11"/>
      <c r="BF139" s="33"/>
      <c r="BG139" s="5">
        <f>IF(BF139=0,(BC139+BD139)*(BB139/12+BE139/3),BF139)</f>
        <v>0</v>
      </c>
      <c r="BH139" s="5">
        <f>IF(BG139*AY139&gt;AL139+AZ139,BG139*AY139-AL139-AZ139,0)</f>
        <v>0</v>
      </c>
      <c r="BI139" s="42">
        <f>IF(M4/1.6&lt;8,ROUND(M4/1.6,0),8)</f>
        <v>0</v>
      </c>
      <c r="BJ139" s="15">
        <f>(AH139+AP139+AZ139)*BA139+0.1*BH139</f>
        <v>76.27308494126225</v>
      </c>
      <c r="BK139" s="11">
        <v>1.8</v>
      </c>
      <c r="BL139" s="5">
        <f>M139*0.2</f>
        <v>2.54</v>
      </c>
      <c r="BM139" s="5">
        <f>ROUNDDOWN(M139/2.13,0)</f>
        <v>5</v>
      </c>
      <c r="BN139" s="12">
        <f>M139/4.26</f>
        <v>2.981220657276995</v>
      </c>
      <c r="BO139" s="5">
        <f>IF(M139&lt;8,1.22,IF(M139&lt;15.2,0.108333*M139+0.353,2))</f>
        <v>1.7288291</v>
      </c>
      <c r="BP139" s="7">
        <f>IF(BK139&lt;BO139,1+0.3*(BO139-BK139)/M139,1)</f>
        <v>1</v>
      </c>
      <c r="BQ139" s="39">
        <v>7</v>
      </c>
      <c r="BR139" s="39">
        <v>2</v>
      </c>
      <c r="BS139" s="32"/>
      <c r="BT139" s="32"/>
      <c r="BU139" t="s" s="20">
        <v>154</v>
      </c>
      <c r="BV139" s="15">
        <f>IF(BQ139&lt;(M139/0.3048)^0.5,1,IF(BU139="x",1-BR139*0.02,IF(BT139="x",1-BR139*0.01,1)))</f>
        <v>0.96</v>
      </c>
      <c r="BW139" s="7">
        <f>IF(K139="x",MIN(1.315,1.28+U139*N139/BJ139/AR139/1100),IF(L139="x",1.28,MAX(1.245,1.28-U139*N139/BJ139/AR139/1100)))</f>
        <v>1.245</v>
      </c>
      <c r="BX139" s="41">
        <f>BW139*T139*BV139*BP139*N139^0.3*BJ139^0.4/V139^0.325</f>
        <v>0.8372659186431558</v>
      </c>
      <c r="BY139" s="29"/>
      <c r="BZ139" s="29"/>
      <c r="CA139" t="s" s="31">
        <v>638</v>
      </c>
      <c r="CB139" t="s" s="31">
        <v>639</v>
      </c>
      <c r="CC139" t="s" s="13">
        <v>93</v>
      </c>
      <c r="CD139" t="s" s="19">
        <v>640</v>
      </c>
      <c r="CE139" s="3"/>
      <c r="CF139" s="3"/>
      <c r="CG139" t="s" s="30">
        <f>A139</f>
        <v>978</v>
      </c>
    </row>
    <row r="140" ht="12.75" customHeight="1">
      <c r="A140" t="s" s="25">
        <v>979</v>
      </c>
      <c r="B140" t="s" s="19">
        <v>979</v>
      </c>
      <c r="C140" t="s" s="19">
        <v>980</v>
      </c>
      <c r="D140" t="s" s="19">
        <v>980</v>
      </c>
      <c r="E140" t="s" s="19">
        <v>981</v>
      </c>
      <c r="F140" t="s" s="19">
        <v>982</v>
      </c>
      <c r="G140" t="s" s="19">
        <v>983</v>
      </c>
      <c r="H140" s="32"/>
      <c r="I140" s="32"/>
      <c r="J140" s="36"/>
      <c r="K140" t="s" s="24">
        <v>154</v>
      </c>
      <c r="L140" s="36"/>
      <c r="M140" s="11">
        <v>6.5</v>
      </c>
      <c r="N140" s="5">
        <v>6.5</v>
      </c>
      <c r="O140" s="11">
        <v>4.9</v>
      </c>
      <c r="P140" s="11"/>
      <c r="Q140" s="37"/>
      <c r="R140" s="43">
        <v>1.3</v>
      </c>
      <c r="S140" s="36"/>
      <c r="T140" s="38">
        <f>IF(S140&gt;0,1.048,IF(R140&gt;0,1.048,IF(Q140&gt;0,1.036,0.907+1.55*(P140/N140)-4.449*(P140/N140)^2)))</f>
        <v>1.048</v>
      </c>
      <c r="U140" s="39">
        <v>660</v>
      </c>
      <c r="V140" s="40">
        <f>IF(H140="x",75+U140,IF(M140&lt;6.66,150+U140,-1.7384*M140^2+92.38*M140-388+U140))</f>
        <v>810</v>
      </c>
      <c r="W140" s="5"/>
      <c r="X140" s="5"/>
      <c r="Y140" s="5"/>
      <c r="Z140" s="5"/>
      <c r="AA140" s="5"/>
      <c r="AB140" s="5"/>
      <c r="AC140" s="5">
        <v>7.9</v>
      </c>
      <c r="AD140" s="33">
        <v>17</v>
      </c>
      <c r="AE140" s="5">
        <f>IF(AD140=0,(W140+4*X140+2*Y140+4*Z140+AA140)*AC140/12+W140*AB140/1.5,AD140)</f>
        <v>17</v>
      </c>
      <c r="AF140" s="11">
        <v>8.5</v>
      </c>
      <c r="AG140" s="11"/>
      <c r="AH140" s="5">
        <f>IF(AC140=0,AE140+AF140*AG140/2,AE140+AC140*AG140/2)</f>
        <v>17</v>
      </c>
      <c r="AI140" s="5">
        <v>7</v>
      </c>
      <c r="AJ140" s="3"/>
      <c r="AK140" s="33">
        <v>8.5</v>
      </c>
      <c r="AL140" s="5">
        <f>IF(AK140=0,AI140*AJ140/2,AK140)</f>
        <v>8.5</v>
      </c>
      <c r="AM140" t="s" s="19">
        <v>154</v>
      </c>
      <c r="AN140" s="5"/>
      <c r="AO140" s="5"/>
      <c r="AP140" s="5">
        <f>AL140+AI140*(AN140-AO140)/2</f>
        <v>8.5</v>
      </c>
      <c r="AQ140" s="5">
        <f>0.1*(AE140+AL140)</f>
        <v>2.55</v>
      </c>
      <c r="AR140" s="11">
        <v>8.5</v>
      </c>
      <c r="AS140" s="11"/>
      <c r="AT140" s="11"/>
      <c r="AU140" s="11"/>
      <c r="AV140" s="33"/>
      <c r="AW140" s="5">
        <f>IF(AV140=0,AS140/6*(AT140+AU140*4),AV140)</f>
        <v>0</v>
      </c>
      <c r="AX140" s="11">
        <v>1.1</v>
      </c>
      <c r="AY140" s="5">
        <f>IF(AX140&lt;0.149*M140+0.329,1,AX140/(0.149*M140+0.329))</f>
        <v>1</v>
      </c>
      <c r="AZ140" s="5">
        <f>IF(AW140*AY140&gt;AL140,(AW140*AY140-AL140)/4,0)</f>
        <v>0</v>
      </c>
      <c r="BA140" s="12">
        <f>0.401+0.1831*(2*AR140^2/(AH140+AP140+AZ140))-0.02016*(2*AR140^2/(AH140+AP140+AZ140))^2+0.0007472*(2*AR140^2/(AH140+AP140+AZ140))^3</f>
        <v>0.9271693925925927</v>
      </c>
      <c r="BB140" s="3"/>
      <c r="BC140" s="3"/>
      <c r="BD140" s="3"/>
      <c r="BE140" s="3"/>
      <c r="BF140" s="33">
        <v>36</v>
      </c>
      <c r="BG140" s="5">
        <f>IF(BF140=0,(BC140+BD140)*(BB140/12+BE140/3),BF140)</f>
        <v>36</v>
      </c>
      <c r="BH140" s="5">
        <f>IF(BG140*AY140&gt;AL140+AZ140,BG140*AY140-AL140-AZ140,0)</f>
        <v>27.5</v>
      </c>
      <c r="BI140" s="5">
        <f>IF(M140/1.6&lt;8,ROUND(M140/1.6,0),8)</f>
        <v>4</v>
      </c>
      <c r="BJ140" s="5">
        <f>(AH140+AP140+AZ140)*BA140+0.1*BH140</f>
        <v>26.39281951111111</v>
      </c>
      <c r="BK140" s="11">
        <v>1.4</v>
      </c>
      <c r="BL140" s="5">
        <f>M140*0.2</f>
        <v>1.3</v>
      </c>
      <c r="BM140" s="5">
        <f>ROUNDDOWN(M140/2.13,0)</f>
        <v>3</v>
      </c>
      <c r="BN140" s="12">
        <f>M140/4.26</f>
        <v>1.525821596244131</v>
      </c>
      <c r="BO140" s="5">
        <f>IF(M140&lt;8,1.22,IF(M140&lt;15.2,0.108333*M140+0.353,2))</f>
        <v>1.22</v>
      </c>
      <c r="BP140" s="12">
        <f>IF(BK140&lt;BO140,1+0.3*(BO140-BK140)/M140,1)</f>
        <v>1</v>
      </c>
      <c r="BQ140" s="39">
        <v>5</v>
      </c>
      <c r="BR140" s="39">
        <v>1</v>
      </c>
      <c r="BS140" t="s" s="24">
        <v>154</v>
      </c>
      <c r="BT140" s="36"/>
      <c r="BU140" s="36"/>
      <c r="BV140" s="5">
        <f>IF(BQ140&lt;(M140/0.3048)^0.5,1,IF(BU140="x",1-BR140*0.02,IF(BT140="x",1-BR140*0.01,1)))</f>
        <v>1</v>
      </c>
      <c r="BW140" s="12">
        <f>IF(K140="x",MIN(1.315,1.28+U140*N140/BJ140/AR140/1100),IF(L140="x",1.28,MAX(1.245,1.28-U140*N140/BJ140/AR140/1100)))</f>
        <v>1.297384407498358</v>
      </c>
      <c r="BX140" s="41">
        <f>BW140*T140*BV140*BP140*N140^0.3*BJ140^0.4/V140^0.325</f>
        <v>1.001476234473186</v>
      </c>
      <c r="BY140" s="29"/>
      <c r="BZ140" s="29"/>
      <c r="CA140" s="3"/>
      <c r="CB140" s="3"/>
      <c r="CC140" s="3"/>
      <c r="CD140" s="3"/>
      <c r="CE140" s="3"/>
      <c r="CF140" s="3"/>
      <c r="CG140" t="s" s="30">
        <f>A140</f>
        <v>984</v>
      </c>
    </row>
    <row r="141" ht="12.75" customHeight="1">
      <c r="A141" t="s" s="25">
        <v>985</v>
      </c>
      <c r="B141" t="s" s="19">
        <v>480</v>
      </c>
      <c r="C141" t="s" s="19">
        <v>193</v>
      </c>
      <c r="D141" t="s" s="19">
        <v>193</v>
      </c>
      <c r="E141" t="s" s="19">
        <v>986</v>
      </c>
      <c r="F141" s="3"/>
      <c r="G141" s="42">
        <v>12</v>
      </c>
      <c r="H141" s="32"/>
      <c r="I141" s="32"/>
      <c r="J141" s="36"/>
      <c r="K141" t="s" s="24">
        <v>154</v>
      </c>
      <c r="L141" s="36"/>
      <c r="M141" s="11">
        <v>8</v>
      </c>
      <c r="N141" s="5">
        <v>7.8</v>
      </c>
      <c r="O141" s="11"/>
      <c r="P141" s="11"/>
      <c r="Q141" t="s" s="24">
        <v>161</v>
      </c>
      <c r="R141" s="36"/>
      <c r="S141" s="36"/>
      <c r="T141" s="38">
        <f>IF(S141&gt;0,1.048,IF(R141&gt;0,1.048,IF(Q141&gt;0,1.036,0.907+1.55*(P141/N141)-4.449*(P141/N141)^2)))</f>
        <v>1.036</v>
      </c>
      <c r="U141" s="39">
        <v>1140</v>
      </c>
      <c r="V141" s="40">
        <f>IF(H141="x",75+U141,IF(M141&lt;6.66,150+U141,-1.7384*M141^2+92.38*M141-388+U141))</f>
        <v>1379.7824</v>
      </c>
      <c r="W141" s="5">
        <v>2.74</v>
      </c>
      <c r="X141" s="5">
        <v>2.75</v>
      </c>
      <c r="Y141" s="5">
        <v>2.52</v>
      </c>
      <c r="Z141" s="5">
        <v>1.85</v>
      </c>
      <c r="AA141" s="5">
        <v>0.15</v>
      </c>
      <c r="AB141" s="5">
        <v>0.01</v>
      </c>
      <c r="AC141" s="5">
        <v>10.13</v>
      </c>
      <c r="AD141" s="33"/>
      <c r="AE141" s="5">
        <f>IF(AD141=0,(W141+4*X141+2*Y141+4*Z141+AA141)*AC141/12+W141*AB141/1.5,AD141)</f>
        <v>22.245175</v>
      </c>
      <c r="AF141" s="11">
        <v>11</v>
      </c>
      <c r="AG141" s="11">
        <v>0.42</v>
      </c>
      <c r="AH141" s="5">
        <f>IF(AC141=0,AE141+AF141*AG141/2,AE141+AC141*AG141/2)</f>
        <v>24.37247499999999</v>
      </c>
      <c r="AI141" s="5">
        <v>8.82</v>
      </c>
      <c r="AJ141" s="5">
        <v>3</v>
      </c>
      <c r="AK141" s="33"/>
      <c r="AL141" s="5">
        <f>IF(AK141=0,AI141*AJ141/2,AK141)</f>
        <v>13.23</v>
      </c>
      <c r="AM141" s="3"/>
      <c r="AN141" s="5"/>
      <c r="AO141" s="5"/>
      <c r="AP141" s="5">
        <f>AL141+AI141*(AN141-AO141)/2</f>
        <v>13.23</v>
      </c>
      <c r="AQ141" s="5">
        <f>0.1*(AE141+AL141)</f>
        <v>3.5475175</v>
      </c>
      <c r="AR141" s="11">
        <v>11.3</v>
      </c>
      <c r="AS141" s="11"/>
      <c r="AT141" s="11"/>
      <c r="AU141" s="11"/>
      <c r="AV141" s="33"/>
      <c r="AW141" s="5">
        <f>IF(AV141=0,AS141/6*(AT141+AU141*4),AV141)</f>
        <v>0</v>
      </c>
      <c r="AX141" s="11">
        <v>1</v>
      </c>
      <c r="AY141" s="5">
        <f>IF(AX141&lt;0.149*M141+0.329,1,AX141/(0.149*M141+0.329))</f>
        <v>1</v>
      </c>
      <c r="AZ141" s="5">
        <f>IF(AW141*AY141&gt;AL141,(AW141*AY141-AL141)/4,0)</f>
        <v>0</v>
      </c>
      <c r="BA141" s="12">
        <f>0.401+0.1831*(2*AR141^2/(AH141+AP141+AZ141))-0.02016*(2*AR141^2/(AH141+AP141+AZ141))^2+0.0007472*(2*AR141^2/(AH141+AP141+AZ141))^3</f>
        <v>0.94871888182521</v>
      </c>
      <c r="BB141" s="5">
        <v>5.05</v>
      </c>
      <c r="BC141" s="5">
        <v>10.17</v>
      </c>
      <c r="BD141" s="5">
        <v>8.4</v>
      </c>
      <c r="BE141" s="5">
        <v>3.58</v>
      </c>
      <c r="BF141" s="33"/>
      <c r="BG141" s="5">
        <f>IF(BF141=0,(BC141+BD141)*(BB141/12+BE141/3),BF141)</f>
        <v>29.975075</v>
      </c>
      <c r="BH141" s="5">
        <f>IF(BG141*AY141&gt;AL141+AZ141,BG141*AY141-AL141-AZ141,0)</f>
        <v>16.745075</v>
      </c>
      <c r="BI141" s="5">
        <f>IF(M141/1.6&lt;8,ROUND(M141/1.6,0),8)</f>
        <v>5</v>
      </c>
      <c r="BJ141" s="5">
        <f>(AH141+AP141+AZ141)*BA141+0.1*BH141</f>
        <v>37.34868553586041</v>
      </c>
      <c r="BK141" s="11">
        <v>1.4</v>
      </c>
      <c r="BL141" s="5">
        <f>M141*0.2</f>
        <v>1.6</v>
      </c>
      <c r="BM141" s="5">
        <f>ROUNDDOWN(M141/2.13,0)</f>
        <v>3</v>
      </c>
      <c r="BN141" s="12">
        <f>M141/4.26</f>
        <v>1.877934272300469</v>
      </c>
      <c r="BO141" s="5">
        <f>IF(M141&lt;8,1.22,IF(M141&lt;15.2,0.108333*M141+0.353,2))</f>
        <v>1.219664</v>
      </c>
      <c r="BP141" s="12">
        <f>IF(BK141&lt;BO141,1+0.3*(BO141-BK141)/M141,1)</f>
        <v>1</v>
      </c>
      <c r="BQ141" s="32"/>
      <c r="BR141" s="32"/>
      <c r="BS141" t="s" s="24">
        <v>154</v>
      </c>
      <c r="BT141" s="36"/>
      <c r="BU141" s="36"/>
      <c r="BV141" s="5">
        <f>IF(BQ141&lt;(M141/0.3048)^0.5,1,IF(BU141="x",1-BR141*0.02,IF(BT141="x",1-BR141*0.01,1)))</f>
        <v>1</v>
      </c>
      <c r="BW141" s="12">
        <f>IF(K141="x",MIN(1.315,1.28+U141*N141/BJ141/AR141/1100),IF(L141="x",1.28,MAX(1.245,1.28-U141*N141/BJ141/AR141/1100)))</f>
        <v>1.299153714236943</v>
      </c>
      <c r="BX141" s="41">
        <f>BW141*T141*BV141*BP141*N141^0.3*BJ141^0.4/V141^0.325</f>
        <v>1.011859838757506</v>
      </c>
      <c r="BY141" s="29"/>
      <c r="BZ141" s="29"/>
      <c r="CA141" t="s" s="19">
        <v>698</v>
      </c>
      <c r="CB141" t="s" s="19">
        <v>510</v>
      </c>
      <c r="CC141" t="s" s="19">
        <v>987</v>
      </c>
      <c r="CD141" t="s" s="19">
        <v>483</v>
      </c>
      <c r="CE141" s="3"/>
      <c r="CF141" s="3"/>
      <c r="CG141" t="s" s="30">
        <f>A141</f>
        <v>988</v>
      </c>
    </row>
    <row r="142" ht="12.75" customHeight="1">
      <c r="A142" t="s" s="25">
        <v>989</v>
      </c>
      <c r="B142" t="s" s="19">
        <v>990</v>
      </c>
      <c r="C142" t="s" s="19">
        <v>991</v>
      </c>
      <c r="D142" t="s" s="19">
        <v>992</v>
      </c>
      <c r="E142" t="s" s="19">
        <v>993</v>
      </c>
      <c r="F142" t="s" s="19">
        <v>994</v>
      </c>
      <c r="G142" s="42">
        <v>42</v>
      </c>
      <c r="H142" s="32"/>
      <c r="I142" s="32"/>
      <c r="J142" s="36"/>
      <c r="K142" t="s" s="24">
        <v>154</v>
      </c>
      <c r="L142" s="36"/>
      <c r="M142" s="11">
        <v>12.7</v>
      </c>
      <c r="N142" s="5">
        <v>12.7</v>
      </c>
      <c r="O142" s="11">
        <v>10</v>
      </c>
      <c r="P142" s="11"/>
      <c r="Q142" s="37"/>
      <c r="R142" s="43">
        <v>2.5</v>
      </c>
      <c r="S142" s="36"/>
      <c r="T142" s="38">
        <f>IF(S142&gt;0,1.048,IF(R142&gt;0,1.048,IF(Q142&gt;0,1.036,0.907+1.55*(P142/N142)-4.449*(P142/N142)^2)))</f>
        <v>1.048</v>
      </c>
      <c r="U142" s="39">
        <v>5300</v>
      </c>
      <c r="V142" s="40">
        <f>IF(H142="x",75+U142,IF(M142&lt;6.66,150+U142,-1.7384*M142^2+92.38*M142-388+U142))</f>
        <v>5804.839464</v>
      </c>
      <c r="W142" s="5"/>
      <c r="X142" s="5"/>
      <c r="Y142" s="5"/>
      <c r="Z142" s="5"/>
      <c r="AA142" s="5"/>
      <c r="AB142" s="5"/>
      <c r="AC142" s="5">
        <v>16.89</v>
      </c>
      <c r="AD142" s="33">
        <v>74.08</v>
      </c>
      <c r="AE142" s="5">
        <f>IF(AD142=0,(W142+4*X142+2*Y142+4*Z142+AA142)*AC142/12+W142*AB142/1.5,AD142)</f>
        <v>74.08</v>
      </c>
      <c r="AF142" s="11">
        <v>17.72</v>
      </c>
      <c r="AG142" s="11"/>
      <c r="AH142" s="5">
        <f>IF(AC142=0,AE142+AF142*AG142/2,AE142+AC142*AG142/2)</f>
        <v>74.08</v>
      </c>
      <c r="AI142" s="5">
        <v>16.24</v>
      </c>
      <c r="AJ142" s="3"/>
      <c r="AK142" s="33">
        <v>51.5</v>
      </c>
      <c r="AL142" s="5">
        <f>IF(AK142=0,AI142*AJ142/2,AK142)</f>
        <v>51.5</v>
      </c>
      <c r="AM142" s="3"/>
      <c r="AN142" s="5"/>
      <c r="AO142" s="5">
        <v>0.7</v>
      </c>
      <c r="AP142" s="5">
        <f>AL142+AI142*(AN142-AO142)/2</f>
        <v>45.816</v>
      </c>
      <c r="AQ142" s="5">
        <f>0.1*(AE142+AL142)</f>
        <v>12.558</v>
      </c>
      <c r="AR142" s="11">
        <v>17.29</v>
      </c>
      <c r="AS142" s="11"/>
      <c r="AT142" s="11"/>
      <c r="AU142" s="11"/>
      <c r="AV142" s="33">
        <v>0</v>
      </c>
      <c r="AW142" s="5">
        <f>IF(AV142=0,AS142/6*(AT142+AU142*4),AV142)</f>
        <v>0</v>
      </c>
      <c r="AX142" s="11">
        <v>0.5</v>
      </c>
      <c r="AY142" s="5">
        <f>IF(AX142&lt;0.149*M142+0.329,1,AX142/(0.149*M142+0.329))</f>
        <v>1</v>
      </c>
      <c r="AZ142" s="5">
        <f>IF(AW142*AY142&gt;AL142,(AW142*AY142-AL142)/4,0)</f>
        <v>0</v>
      </c>
      <c r="BA142" s="12">
        <f>0.401+0.1831*(2*AR142^2/(AH142+AP142+AZ142))-0.02016*(2*AR142^2/(AH142+AP142+AZ142))^2+0.0007472*(2*AR142^2/(AH142+AP142+AZ142))^3</f>
        <v>0.9054000202748743</v>
      </c>
      <c r="BB142" s="3"/>
      <c r="BC142" s="3"/>
      <c r="BD142" s="3"/>
      <c r="BE142" s="3"/>
      <c r="BF142" s="33">
        <v>0</v>
      </c>
      <c r="BG142" s="5">
        <f>IF(BF142=0,(BC142+BD142)*(BB142/12+BE142/3),BF142)</f>
        <v>0</v>
      </c>
      <c r="BH142" s="5">
        <f>IF(BG142*AY142&gt;AL142+AZ142,BG142*AY142-AL142-AZ142,0)</f>
        <v>0</v>
      </c>
      <c r="BI142" s="5">
        <f>IF(M142/1.6&lt;8,ROUND(M142/1.6,0),8)</f>
        <v>8</v>
      </c>
      <c r="BJ142" s="5">
        <f>(AH142+AP142+AZ142)*BA142+0.1*BH142</f>
        <v>108.5538408308763</v>
      </c>
      <c r="BK142" s="11">
        <v>1.9</v>
      </c>
      <c r="BL142" s="5">
        <f>M142*0.2</f>
        <v>2.54</v>
      </c>
      <c r="BM142" s="5">
        <f>ROUNDDOWN(M142/2.13,0)</f>
        <v>5</v>
      </c>
      <c r="BN142" s="12">
        <f>M142/4.26</f>
        <v>2.981220657276995</v>
      </c>
      <c r="BO142" s="5">
        <f>IF(M142&lt;8,1.22,IF(M142&lt;15.2,0.108333*M142+0.353,2))</f>
        <v>1.7288291</v>
      </c>
      <c r="BP142" s="12">
        <f>IF(BK142&lt;BO142,1+0.3*(BO142-BK142)/M142,1)</f>
        <v>1</v>
      </c>
      <c r="BQ142" s="39">
        <v>8</v>
      </c>
      <c r="BR142" s="39">
        <v>1</v>
      </c>
      <c r="BS142" s="36"/>
      <c r="BT142" t="s" s="24">
        <v>154</v>
      </c>
      <c r="BU142" s="36"/>
      <c r="BV142" s="5">
        <f>IF(BQ142&lt;(M142/0.3048)^0.5,1,IF(BU142="x",1-BR142*0.02,IF(BT142="x",1-BR142*0.01,1)))</f>
        <v>0.99</v>
      </c>
      <c r="BW142" s="12">
        <f>IF(K142="x",MIN(1.315,1.28+U142*N142/BJ142/AR142/1100),IF(L142="x",1.28,MAX(1.245,1.28-U142*N142/BJ142/AR142/1100)))</f>
        <v>1.31260218578516</v>
      </c>
      <c r="BX142" s="41">
        <f>BW142*T142*BV142*BP142*N142^0.3*BJ142^0.4/V142^0.325</f>
        <v>1.138405472777614</v>
      </c>
      <c r="BY142" s="29"/>
      <c r="BZ142" s="29"/>
      <c r="CA142" s="3"/>
      <c r="CB142" s="3"/>
      <c r="CC142" s="3"/>
      <c r="CD142" s="3"/>
      <c r="CE142" s="3"/>
      <c r="CF142" s="3"/>
      <c r="CG142" t="s" s="30">
        <f>A142</f>
        <v>995</v>
      </c>
    </row>
    <row r="143" ht="12.75" customHeight="1">
      <c r="A143" t="s" s="25">
        <v>996</v>
      </c>
      <c r="B143" t="s" s="19">
        <v>997</v>
      </c>
      <c r="C143" t="s" s="19">
        <v>213</v>
      </c>
      <c r="D143" t="s" s="19">
        <v>998</v>
      </c>
      <c r="E143" t="s" s="19">
        <v>999</v>
      </c>
      <c r="F143" s="3"/>
      <c r="G143" s="3"/>
      <c r="H143" s="32"/>
      <c r="I143" s="32"/>
      <c r="J143" s="36"/>
      <c r="K143" t="s" s="24">
        <v>154</v>
      </c>
      <c r="L143" s="36"/>
      <c r="M143" s="11">
        <v>7.9</v>
      </c>
      <c r="N143" s="5">
        <v>7.9</v>
      </c>
      <c r="O143" s="11">
        <v>6.8</v>
      </c>
      <c r="P143" s="11"/>
      <c r="Q143" s="37"/>
      <c r="R143" t="s" s="24">
        <v>1000</v>
      </c>
      <c r="S143" s="36"/>
      <c r="T143" s="38">
        <f>IF(S143&gt;0,1.048,IF(R143&gt;0,1.048,IF(Q143&gt;0,1.036,0.907+1.55*(P143/N143)-4.449*(P143/N143)^2)))</f>
        <v>1.048</v>
      </c>
      <c r="U143" s="39">
        <v>1370</v>
      </c>
      <c r="V143" s="40">
        <f>IF(H143="x",75+U143,IF(M143&lt;6.66,150+U143,-1.7384*M143^2+92.38*M143-388+U143))</f>
        <v>1603.308456</v>
      </c>
      <c r="W143" s="5">
        <v>3.76</v>
      </c>
      <c r="X143" s="5"/>
      <c r="Y143" s="5"/>
      <c r="Z143" s="5"/>
      <c r="AA143" s="5"/>
      <c r="AB143" s="5"/>
      <c r="AC143" s="5">
        <v>10.9</v>
      </c>
      <c r="AD143" s="33">
        <v>33.26</v>
      </c>
      <c r="AE143" s="5">
        <f>IF(AD143=0,(W143+4*X143+2*Y143+4*Z143+AA143)*AC143/12+W143*AB143/1.5,AD143)</f>
        <v>33.26</v>
      </c>
      <c r="AF143" s="11">
        <v>12.5</v>
      </c>
      <c r="AG143" s="11"/>
      <c r="AH143" s="5">
        <f>IF(AC143=0,AE143+AF143*AG143/2,AE143+AC143*AG143/2)</f>
        <v>33.26</v>
      </c>
      <c r="AI143" s="5">
        <v>9.57</v>
      </c>
      <c r="AJ143" s="5">
        <v>3.73</v>
      </c>
      <c r="AK143" s="33"/>
      <c r="AL143" s="5">
        <f>IF(AK143=0,AI143*AJ143/2,AK143)</f>
        <v>17.84805</v>
      </c>
      <c r="AM143" s="3"/>
      <c r="AN143" s="5"/>
      <c r="AO143" s="5"/>
      <c r="AP143" s="5">
        <f>AL143+AI143*(AN143-AO143)/2</f>
        <v>17.84805</v>
      </c>
      <c r="AQ143" s="5">
        <f>0.1*(AE143+AL143)</f>
        <v>5.110805</v>
      </c>
      <c r="AR143" s="11">
        <v>12.5</v>
      </c>
      <c r="AS143" s="11"/>
      <c r="AT143" s="11"/>
      <c r="AU143" s="11"/>
      <c r="AV143" s="33">
        <f>11.57*5.55/2</f>
        <v>32.10675</v>
      </c>
      <c r="AW143" s="5">
        <f>IF(AV143=0,AS143/6*(AT143+AU143*4),AV143)</f>
        <v>32.10675</v>
      </c>
      <c r="AX143" s="11">
        <v>1.4</v>
      </c>
      <c r="AY143" s="5">
        <f>IF(AX143&lt;0.149*M143+0.329,1,AX143/(0.149*M143+0.329))</f>
        <v>1</v>
      </c>
      <c r="AZ143" s="5">
        <f>IF(AW143*AY143&gt;AL143,(AW143*AY143-AL143)/4,0)</f>
        <v>3.564674999999999</v>
      </c>
      <c r="BA143" s="12">
        <f>0.401+0.1831*(2*AR143^2/(AH143+AP143+AZ143))-0.02016*(2*AR143^2/(AH143+AP143+AZ143))^2+0.0007472*(2*AR143^2/(AH143+AP143+AZ143))^3</f>
        <v>0.9284592130690811</v>
      </c>
      <c r="BB143" s="3"/>
      <c r="BC143" s="3"/>
      <c r="BD143" s="3"/>
      <c r="BE143" s="3"/>
      <c r="BF143" s="33"/>
      <c r="BG143" s="5">
        <f>IF(BF143=0,(BC143+BD143)*(BB143/12+BE143/3),BF143)</f>
        <v>0</v>
      </c>
      <c r="BH143" s="5">
        <f>IF(BG143*AY143&gt;AL143+AZ143,BG143*AY143-AL143-AZ143,0)</f>
        <v>0</v>
      </c>
      <c r="BI143" s="5">
        <f>IF(M143/1.6&lt;8,ROUND(M143/1.6,0),8)</f>
        <v>5</v>
      </c>
      <c r="BJ143" s="5">
        <f>(AH143+AP143+AZ143)*BA143+0.1*BH143</f>
        <v>50.76139522984228</v>
      </c>
      <c r="BK143" s="11">
        <v>1.22</v>
      </c>
      <c r="BL143" s="5">
        <f>M143*0.2</f>
        <v>1.58</v>
      </c>
      <c r="BM143" s="5">
        <f>ROUNDDOWN(M143/2.13,0)</f>
        <v>3</v>
      </c>
      <c r="BN143" s="12">
        <f>M143/4.26</f>
        <v>1.854460093896714</v>
      </c>
      <c r="BO143" s="5">
        <f>IF(M143&lt;8,1.22,IF(M143&lt;15.2,0.108333*M143+0.353,2))</f>
        <v>1.22</v>
      </c>
      <c r="BP143" s="12">
        <f>IF(BK143&lt;BO143,1+0.3*(BO143-BK143)/M143,1)</f>
        <v>1</v>
      </c>
      <c r="BQ143" s="32"/>
      <c r="BR143" s="32"/>
      <c r="BS143" t="s" s="24">
        <v>154</v>
      </c>
      <c r="BT143" s="36"/>
      <c r="BU143" s="36"/>
      <c r="BV143" s="5">
        <f>IF(BQ143&lt;(M143/0.3048)^0.5,1,IF(BU143="x",1-BR143*0.02,IF(BT143="x",1-BR143*0.01,1)))</f>
        <v>1</v>
      </c>
      <c r="BW143" s="12">
        <f>IF(K143="x",MIN(1.315,1.28+U143*N143/BJ143/AR143/1100),IF(L143="x",1.28,MAX(1.245,1.28-U143*N143/BJ143/AR143/1100)))</f>
        <v>1.295506415242592</v>
      </c>
      <c r="BX143" s="41">
        <f>BW143*T143*BV143*BP143*N143^0.3*BJ143^0.4/V143^0.325</f>
        <v>1.103244690933521</v>
      </c>
      <c r="BY143" s="29"/>
      <c r="BZ143" s="29"/>
      <c r="CA143" t="s" s="19">
        <v>1001</v>
      </c>
      <c r="CB143" t="s" s="19">
        <v>856</v>
      </c>
      <c r="CC143" t="s" s="19">
        <v>254</v>
      </c>
      <c r="CD143" t="s" s="19">
        <v>415</v>
      </c>
      <c r="CE143" s="3"/>
      <c r="CF143" s="3"/>
      <c r="CG143" t="s" s="30">
        <f>A143</f>
        <v>1002</v>
      </c>
    </row>
    <row r="144" ht="12.75" customHeight="1">
      <c r="A144" t="s" s="25">
        <v>1003</v>
      </c>
      <c r="B144" t="s" s="19">
        <v>1004</v>
      </c>
      <c r="C144" t="s" s="19">
        <v>1005</v>
      </c>
      <c r="D144" t="s" s="19">
        <v>1006</v>
      </c>
      <c r="E144" t="s" s="19">
        <v>339</v>
      </c>
      <c r="F144" t="s" s="19">
        <v>1007</v>
      </c>
      <c r="G144" t="s" s="19">
        <v>1008</v>
      </c>
      <c r="H144" s="32"/>
      <c r="I144" s="32"/>
      <c r="J144" s="36"/>
      <c r="K144" t="s" s="24">
        <v>154</v>
      </c>
      <c r="L144" s="36"/>
      <c r="M144" s="11">
        <v>12.2</v>
      </c>
      <c r="N144" s="5">
        <v>12.2</v>
      </c>
      <c r="O144" s="11">
        <v>10.3</v>
      </c>
      <c r="P144" s="11"/>
      <c r="Q144" s="37"/>
      <c r="R144" t="s" s="24">
        <v>154</v>
      </c>
      <c r="S144" s="36"/>
      <c r="T144" s="38">
        <f>IF(S144&gt;0,1.048,IF(R144&gt;0,1.048,IF(Q144&gt;0,1.036,0.907+1.55*(P144/N144)-4.449*(P144/N144)^2)))</f>
        <v>1.048</v>
      </c>
      <c r="U144" s="39">
        <v>2370</v>
      </c>
      <c r="V144" s="40">
        <f>IF(H144="x",75+U144,IF(M144&lt;6.66,150+U144,-1.7384*M144^2+92.38*M144-388+U144))</f>
        <v>2850.292544</v>
      </c>
      <c r="W144" s="60">
        <v>5.15</v>
      </c>
      <c r="X144" s="60">
        <v>4.92</v>
      </c>
      <c r="Y144" s="60">
        <v>4.45</v>
      </c>
      <c r="Z144" s="60">
        <v>3.47</v>
      </c>
      <c r="AA144" s="60">
        <v>1</v>
      </c>
      <c r="AB144" s="60">
        <v>0</v>
      </c>
      <c r="AC144" s="60">
        <v>20.4</v>
      </c>
      <c r="AD144" s="33"/>
      <c r="AE144" s="5">
        <f>IF(AD144=0,(W144+4*X144+2*Y144+4*Z144+AA144)*AC144/12+W144*AB144/1.5,AD144)</f>
        <v>82.63699999999999</v>
      </c>
      <c r="AF144" s="11">
        <v>21.5</v>
      </c>
      <c r="AG144" s="11">
        <v>0.9</v>
      </c>
      <c r="AH144" s="5">
        <f>IF(AC144=0,AE144+AF144*AG144/2,AE144+AC144*AG144/2)</f>
        <v>91.81699999999998</v>
      </c>
      <c r="AI144" s="5">
        <v>16.77</v>
      </c>
      <c r="AJ144" s="5">
        <v>4.39</v>
      </c>
      <c r="AK144" s="33"/>
      <c r="AL144" s="5">
        <f>IF(AK144=0,AI144*AJ144/2,AK144)</f>
        <v>36.81014999999999</v>
      </c>
      <c r="AM144" t="s" s="19">
        <v>154</v>
      </c>
      <c r="AN144" s="5"/>
      <c r="AO144" s="5"/>
      <c r="AP144" s="5">
        <f>AL144+AI144*(AN144-AO144)/2</f>
        <v>36.81014999999999</v>
      </c>
      <c r="AQ144" s="5">
        <f>0.1*(AE144+AL144)</f>
        <v>11.944715</v>
      </c>
      <c r="AR144" s="11">
        <v>22.6</v>
      </c>
      <c r="AS144" s="11"/>
      <c r="AT144" s="11"/>
      <c r="AU144" s="11"/>
      <c r="AV144" s="65">
        <v>129</v>
      </c>
      <c r="AW144" s="5">
        <f>IF(AV144=0,AS144/6*(AT144+AU144*4),AV144)</f>
        <v>129</v>
      </c>
      <c r="AX144" s="11">
        <v>1.7</v>
      </c>
      <c r="AY144" s="5">
        <f>IF(AX144&lt;0.149*M144+0.329,1,AX144/(0.149*M144+0.329))</f>
        <v>1</v>
      </c>
      <c r="AZ144" s="5">
        <f>IF(AW144*AY144&gt;AL144,(AW144*AY144-AL144)/4,0)</f>
        <v>23.0474625</v>
      </c>
      <c r="BA144" s="12">
        <f>0.401+0.1831*(2*AR144^2/(AH144+AP144+AZ144))-0.02016*(2*AR144^2/(AH144+AP144+AZ144))^2+0.0007472*(2*AR144^2/(AH144+AP144+AZ144))^3</f>
        <v>0.9479860549659067</v>
      </c>
      <c r="BB144" s="3"/>
      <c r="BC144" s="3"/>
      <c r="BD144" s="3"/>
      <c r="BE144" s="3"/>
      <c r="BF144" s="33">
        <v>0</v>
      </c>
      <c r="BG144" s="5">
        <f>IF(BF144=0,(BC144+BD144)*(BB144/12+BE144/3),BF144)</f>
        <v>0</v>
      </c>
      <c r="BH144" s="5">
        <f>IF(BG144*AY144&gt;AL144+AZ144,BG144*AY144-AL144-AZ144,0)</f>
        <v>0</v>
      </c>
      <c r="BI144" s="5">
        <f>IF(M144/1.6&lt;8,ROUND(M144/1.6,0),8)</f>
        <v>8</v>
      </c>
      <c r="BJ144" s="5">
        <f>(AH144+AP144+AZ144)*BA144+0.1*BH144</f>
        <v>143.7854175423576</v>
      </c>
      <c r="BK144" s="11">
        <v>1.25</v>
      </c>
      <c r="BL144" s="5">
        <f>M144*0.2</f>
        <v>2.44</v>
      </c>
      <c r="BM144" s="5">
        <f>ROUNDDOWN(M144/2.13,0)</f>
        <v>5</v>
      </c>
      <c r="BN144" s="12">
        <f>M144/4.26</f>
        <v>2.863849765258216</v>
      </c>
      <c r="BO144" s="5">
        <f>IF(M144&lt;8,1.22,IF(M144&lt;15.2,0.108333*M144+0.353,2))</f>
        <v>1.6746626</v>
      </c>
      <c r="BP144" s="12">
        <f>IF(BK144&lt;BO144,1+0.3*(BO144-BK144)/M144,1)</f>
        <v>1.01044252295082</v>
      </c>
      <c r="BQ144" s="32"/>
      <c r="BR144" s="39">
        <v>0</v>
      </c>
      <c r="BS144" t="s" s="24">
        <v>154</v>
      </c>
      <c r="BT144" s="36"/>
      <c r="BU144" s="36"/>
      <c r="BV144" s="5">
        <f>IF(BQ144&lt;(M144/0.3048)^0.5,1,IF(BU144="x",1-BR144*0.02,IF(BT144="x",1-BR144*0.01,1)))</f>
        <v>1</v>
      </c>
      <c r="BW144" s="12">
        <f>IF(K144="x",MIN(1.315,1.28+U144*N144/BJ144/AR144/1100),IF(L144="x",1.28,MAX(1.245,1.28-U144*N144/BJ144/AR144/1100)))</f>
        <v>1.288088951090143</v>
      </c>
      <c r="BX144" s="41">
        <f>BW144*T144*BV144*BP144*N144^0.3*BJ144^0.4/V144^0.325</f>
        <v>1.588450082716907</v>
      </c>
      <c r="BY144" s="3"/>
      <c r="BZ144" s="3"/>
      <c r="CA144" t="s" s="19">
        <v>253</v>
      </c>
      <c r="CB144" s="46">
        <v>37431</v>
      </c>
      <c r="CC144" t="s" s="19">
        <v>254</v>
      </c>
      <c r="CD144" s="3"/>
      <c r="CE144" s="3"/>
      <c r="CF144" s="3"/>
      <c r="CG144" t="s" s="30">
        <f>A144</f>
        <v>1009</v>
      </c>
    </row>
    <row r="145" ht="12.75" customHeight="1">
      <c r="A145" t="s" s="25">
        <v>1010</v>
      </c>
      <c r="B145" t="s" s="19">
        <v>877</v>
      </c>
      <c r="C145" t="s" s="19">
        <v>304</v>
      </c>
      <c r="D145" t="s" s="19">
        <v>305</v>
      </c>
      <c r="E145" t="s" s="19">
        <v>1011</v>
      </c>
      <c r="F145" s="3"/>
      <c r="G145" s="3"/>
      <c r="H145" s="32"/>
      <c r="I145" s="32"/>
      <c r="J145" t="s" s="24">
        <v>154</v>
      </c>
      <c r="K145" s="36"/>
      <c r="L145" s="36"/>
      <c r="M145" s="11">
        <v>8</v>
      </c>
      <c r="N145" s="5">
        <v>8</v>
      </c>
      <c r="O145" s="11">
        <v>4.5</v>
      </c>
      <c r="P145" s="11">
        <v>0.7</v>
      </c>
      <c r="Q145" s="37"/>
      <c r="R145" s="36"/>
      <c r="S145" s="36"/>
      <c r="T145" s="38">
        <f>IF(S145&gt;0,1.048,IF(R145&gt;0,1.048,IF(Q145&gt;0,1.036,0.907+1.55*(P145/N145)-4.449*(P145/N145)^2)))</f>
        <v>1.008562343750</v>
      </c>
      <c r="U145" s="39">
        <v>1000</v>
      </c>
      <c r="V145" s="40">
        <f>IF(H145="x",75+U145,IF(M145&lt;6.66,150+U145,-1.7384*M145^2+92.38*M145-388+U145))</f>
        <v>1239.7824</v>
      </c>
      <c r="W145" s="5"/>
      <c r="X145" s="5"/>
      <c r="Y145" s="5"/>
      <c r="Z145" s="5"/>
      <c r="AA145" s="5"/>
      <c r="AB145" s="5"/>
      <c r="AC145" s="5">
        <v>10.5</v>
      </c>
      <c r="AD145" s="33">
        <v>28</v>
      </c>
      <c r="AE145" s="5">
        <f>IF(AD145=0,(W145+4*X145+2*Y145+4*Z145+AA145)*AC145/12+W145*AB145/1.5,AD145)</f>
        <v>28</v>
      </c>
      <c r="AF145" s="11">
        <v>11</v>
      </c>
      <c r="AG145" s="11">
        <v>0.503</v>
      </c>
      <c r="AH145" s="5">
        <f>IF(AC145=0,AE145+AF145*AG145/2,AE145+AC145*AG145/2)</f>
        <v>30.64075</v>
      </c>
      <c r="AI145" s="3"/>
      <c r="AJ145" s="3"/>
      <c r="AK145" s="33">
        <v>12.5</v>
      </c>
      <c r="AL145" s="5">
        <f>IF(AK145=0,AI145*AJ145/2,AK145)</f>
        <v>12.5</v>
      </c>
      <c r="AM145" s="3"/>
      <c r="AN145" s="5"/>
      <c r="AO145" s="5"/>
      <c r="AP145" s="5">
        <f>AL145+AI145*(AN145-AO145)/2</f>
        <v>12.5</v>
      </c>
      <c r="AQ145" s="5">
        <f>0.1*(AE145+AL145)</f>
        <v>4.05</v>
      </c>
      <c r="AR145" s="11">
        <v>11</v>
      </c>
      <c r="AS145" s="11"/>
      <c r="AT145" s="11"/>
      <c r="AU145" s="11"/>
      <c r="AV145" s="33"/>
      <c r="AW145" s="5">
        <f>IF(AV145=0,AS145/6*(AT145+AU145*4),AV145)</f>
        <v>0</v>
      </c>
      <c r="AX145" s="11">
        <v>0</v>
      </c>
      <c r="AY145" s="5">
        <f>IF(AX145&lt;0.149*M145+0.329,1,AX145/(0.149*M145+0.329))</f>
        <v>1</v>
      </c>
      <c r="AZ145" s="5">
        <f>IF(AW145*AY145&gt;AL145,(AW145*AY145-AL145)/4,0)</f>
        <v>0</v>
      </c>
      <c r="BA145" s="12">
        <f>0.401+0.1831*(2*AR145^2/(AH145+AP145+AZ145))-0.02016*(2*AR145^2/(AH145+AP145+AZ145))^2+0.0007472*(2*AR145^2/(AH145+AP145+AZ145))^3</f>
        <v>0.9256254821841549</v>
      </c>
      <c r="BB145" s="3"/>
      <c r="BC145" s="3"/>
      <c r="BD145" s="3"/>
      <c r="BE145" s="3"/>
      <c r="BF145" s="33">
        <v>53</v>
      </c>
      <c r="BG145" s="5">
        <f>IF(BF145=0,(BC145+BD145)*(BB145/12+BE145/3),BF145)</f>
        <v>53</v>
      </c>
      <c r="BH145" s="5">
        <f>IF(BG145*AY145&gt;AL145+AZ145,BG145*AY145-AL145-AZ145,0)</f>
        <v>40.5</v>
      </c>
      <c r="BI145" s="5">
        <f>IF(M145/1.6&lt;8,ROUND(M145/1.6,0),8)</f>
        <v>5</v>
      </c>
      <c r="BJ145" s="5">
        <f>(AH145+AP145+AZ145)*BA145+0.1*BH145</f>
        <v>43.98217752053608</v>
      </c>
      <c r="BK145" s="11">
        <v>1.22</v>
      </c>
      <c r="BL145" s="5">
        <f>M145*0.2</f>
        <v>1.6</v>
      </c>
      <c r="BM145" s="5">
        <f>ROUNDDOWN(M145/2.13,0)</f>
        <v>3</v>
      </c>
      <c r="BN145" s="12">
        <f>M145/4.26</f>
        <v>1.877934272300469</v>
      </c>
      <c r="BO145" s="5">
        <f>IF(M145&lt;8,1.22,IF(M145&lt;15.2,0.108333*M145+0.353,2))</f>
        <v>1.219664</v>
      </c>
      <c r="BP145" s="12">
        <f>IF(BK145&lt;BO145,1+0.3*(BO145-BK145)/M145,1)</f>
        <v>1</v>
      </c>
      <c r="BQ145" s="39">
        <v>6</v>
      </c>
      <c r="BR145" s="39">
        <v>0</v>
      </c>
      <c r="BS145" t="s" s="24">
        <v>154</v>
      </c>
      <c r="BT145" s="36"/>
      <c r="BU145" s="36"/>
      <c r="BV145" s="5">
        <f>IF(BQ145&lt;(M145/0.3048)^0.5,1,IF(BU145="x",1-BR145*0.02,IF(BT145="x",1-BR145*0.01,1)))</f>
        <v>1</v>
      </c>
      <c r="BW145" s="12">
        <f>IF(K145="x",MIN(1.315,1.28+U145*N145/BJ145/AR145/1100),IF(L145="x",1.28,MAX(1.245,1.28-U145*N145/BJ145/AR145/1100)))</f>
        <v>1.264967615018954</v>
      </c>
      <c r="BX145" s="41">
        <f>BW145*T145*BV145*BP145*N145^0.3*BJ145^0.4/V145^0.325</f>
        <v>1.068273773373452</v>
      </c>
      <c r="BY145" s="29"/>
      <c r="BZ145" s="29"/>
      <c r="CA145" t="s" s="19">
        <v>213</v>
      </c>
      <c r="CB145" t="s" s="19">
        <v>1012</v>
      </c>
      <c r="CC145" t="s" s="19">
        <v>180</v>
      </c>
      <c r="CD145" s="3"/>
      <c r="CE145" s="3"/>
      <c r="CF145" s="3"/>
      <c r="CG145" t="s" s="30">
        <f>A145</f>
        <v>1013</v>
      </c>
    </row>
    <row r="146" ht="12.75" customHeight="1">
      <c r="A146" t="s" s="25">
        <v>1014</v>
      </c>
      <c r="B146" t="s" s="19">
        <v>1015</v>
      </c>
      <c r="C146" t="s" s="19">
        <v>344</v>
      </c>
      <c r="D146" t="s" s="19">
        <v>345</v>
      </c>
      <c r="E146" t="s" s="19">
        <v>1016</v>
      </c>
      <c r="F146" s="3"/>
      <c r="G146" s="3"/>
      <c r="H146" s="32"/>
      <c r="I146" s="32"/>
      <c r="J146" s="36"/>
      <c r="K146" t="s" s="24">
        <v>154</v>
      </c>
      <c r="L146" s="36"/>
      <c r="M146" s="11">
        <v>9.890000000000001</v>
      </c>
      <c r="N146" s="5">
        <v>9.890000000000001</v>
      </c>
      <c r="O146" s="11"/>
      <c r="P146" s="11"/>
      <c r="Q146" s="37"/>
      <c r="R146" t="s" s="24">
        <v>154</v>
      </c>
      <c r="S146" s="36"/>
      <c r="T146" s="38">
        <f>IF(S146&gt;0,1.048,IF(R146&gt;0,1.048,IF(Q146&gt;0,1.036,0.907+1.55*(P146/N146)-4.449*(P146/N146)^2)))</f>
        <v>1.048</v>
      </c>
      <c r="U146" s="39">
        <f>1414*(989/855)^3</f>
        <v>2188.466686651423</v>
      </c>
      <c r="V146" s="40">
        <f>IF(H146="x",75+U146,IF(M146&lt;6.66,150+U146,-1.7384*M146^2+92.38*M146-388+U146))</f>
        <v>2544.068332011423</v>
      </c>
      <c r="W146" s="5"/>
      <c r="X146" s="5"/>
      <c r="Y146" s="5"/>
      <c r="Z146" s="5"/>
      <c r="AA146" s="5"/>
      <c r="AB146" s="5"/>
      <c r="AC146" s="5"/>
      <c r="AD146" s="33">
        <f>28.74*(989/855)^2</f>
        <v>38.4544954550118</v>
      </c>
      <c r="AE146" s="5">
        <f>IF(AD146=0,(W146+4*X146+2*Y146+4*Z146+AA146)*AC146/12+W146*AB146/1.5,AD146)</f>
        <v>38.4544954550118</v>
      </c>
      <c r="AF146" s="11">
        <f>11.51*989/855</f>
        <v>13.31390643274854</v>
      </c>
      <c r="AG146" s="11">
        <f>0.48*9.89/8.55</f>
        <v>0.5552280701754386</v>
      </c>
      <c r="AH146" s="5">
        <f>IF(AC146=0,AE146+AF146*AG146/2,AE146+AC146*AG146/2)</f>
        <v>42.15062274258746</v>
      </c>
      <c r="AI146" s="3"/>
      <c r="AJ146" s="3"/>
      <c r="AK146" s="33">
        <f>15.92*(989/855)^2</f>
        <v>21.30116797647139</v>
      </c>
      <c r="AL146" s="5">
        <f>IF(AK146=0,AI146*AJ146/2,AK146)</f>
        <v>21.30116797647139</v>
      </c>
      <c r="AM146" s="3"/>
      <c r="AN146" s="5"/>
      <c r="AO146" s="5"/>
      <c r="AP146" s="5">
        <f>AL146+AI146*(AN146-AO146)/2</f>
        <v>21.30116797647139</v>
      </c>
      <c r="AQ146" s="5">
        <f>0.1*(AE146+AL146)</f>
        <v>5.975566343148319</v>
      </c>
      <c r="AR146" s="11">
        <f>11.9*989/855</f>
        <v>13.76502923976608</v>
      </c>
      <c r="AS146" s="11"/>
      <c r="AT146" s="11"/>
      <c r="AU146" s="11"/>
      <c r="AV146" s="33">
        <v>0</v>
      </c>
      <c r="AW146" s="5">
        <f>IF(AV146=0,AS146/6*(AT146+AU146*4),AV146)</f>
        <v>0</v>
      </c>
      <c r="AX146" s="11">
        <v>1.8</v>
      </c>
      <c r="AY146" s="5">
        <f>IF(AX146&lt;0.149*M146+0.329,1,AX146/(0.149*M146+0.329))</f>
        <v>1</v>
      </c>
      <c r="AZ146" s="5">
        <f>IF(AW146*AY146&gt;AL146,(AW146*AY146-AL146)/4,0)</f>
        <v>0</v>
      </c>
      <c r="BA146" s="12">
        <f>0.401+0.1831*(2*AR146^2/(AH146+AP146+AZ146))-0.02016*(2*AR146^2/(AH146+AP146+AZ146))^2+0.0007472*(2*AR146^2/(AH146+AP146+AZ146))^3</f>
        <v>0.934623650631342</v>
      </c>
      <c r="BB146" s="3"/>
      <c r="BC146" s="3"/>
      <c r="BD146" s="3"/>
      <c r="BE146" s="3"/>
      <c r="BF146" s="33">
        <f>69*(989/855)^2</f>
        <v>92.32290140556069</v>
      </c>
      <c r="BG146" s="5">
        <f>IF(BF146=0,(BC146+BD146)*(BB146/12+BE146/3),BF146)</f>
        <v>92.32290140556069</v>
      </c>
      <c r="BH146" s="5">
        <f>IF(BG146*AY146&gt;AL146+AZ146,BG146*AY146-AL146-AZ146,0)</f>
        <v>71.02173342908929</v>
      </c>
      <c r="BI146" s="5">
        <f>IF(M146/1.6&lt;8,ROUND(M146/1.6,0),8)</f>
        <v>6</v>
      </c>
      <c r="BJ146" s="5">
        <f>(AH146+AP146+AZ146)*BA146+0.1*BH146</f>
        <v>66.40571762385161</v>
      </c>
      <c r="BK146" s="11">
        <v>1.8</v>
      </c>
      <c r="BL146" s="5">
        <f>M146*0.2</f>
        <v>1.978</v>
      </c>
      <c r="BM146" s="5">
        <f>ROUNDDOWN(M146/2.13,0)</f>
        <v>4</v>
      </c>
      <c r="BN146" s="12">
        <f>M146/4.26</f>
        <v>2.321596244131455</v>
      </c>
      <c r="BO146" s="5">
        <f>IF(M146&lt;8,1.22,IF(M146&lt;15.2,0.108333*M146+0.353,2))</f>
        <v>1.42441337</v>
      </c>
      <c r="BP146" s="12">
        <f>IF(BK146&lt;BO146,1+0.3*(BO146-BK146)/M146,1)</f>
        <v>1</v>
      </c>
      <c r="BQ146" s="32"/>
      <c r="BR146" s="39">
        <v>0</v>
      </c>
      <c r="BS146" t="s" s="24">
        <v>154</v>
      </c>
      <c r="BT146" s="36"/>
      <c r="BU146" s="36"/>
      <c r="BV146" s="5">
        <f>IF(BQ146&lt;(M146/0.3048)^0.5,1,IF(BU146="x",1-BR146*0.02,IF(BT146="x",1-BR146*0.01,1)))</f>
        <v>1</v>
      </c>
      <c r="BW146" s="12">
        <f>IF(K146="x",MIN(1.315,1.28+U146*N146/BJ146/AR146/1100),IF(L146="x",1.28,MAX(1.245,1.28-U146*N146/BJ146/AR146/1100)))</f>
        <v>1.301525880942842</v>
      </c>
      <c r="BX146" s="41">
        <f>BW146*T146*BV146*BP146*N146^0.3*BJ146^0.4/V146^0.325</f>
        <v>1.13620924183046</v>
      </c>
      <c r="BY146" s="29"/>
      <c r="BZ146" s="29"/>
      <c r="CA146" t="s" s="19">
        <v>162</v>
      </c>
      <c r="CB146" t="s" s="19">
        <v>917</v>
      </c>
      <c r="CC146" t="s" s="19">
        <v>869</v>
      </c>
      <c r="CD146" t="s" s="19">
        <v>1017</v>
      </c>
      <c r="CE146" s="3"/>
      <c r="CF146" s="3"/>
      <c r="CG146" t="s" s="30">
        <f>A146</f>
        <v>1018</v>
      </c>
    </row>
    <row r="147" ht="12.75" customHeight="1">
      <c r="A147" t="s" s="25">
        <v>1019</v>
      </c>
      <c r="B147" t="s" s="19">
        <v>1020</v>
      </c>
      <c r="C147" t="s" s="19">
        <v>1021</v>
      </c>
      <c r="D147" t="s" s="19">
        <v>1022</v>
      </c>
      <c r="E147" s="3"/>
      <c r="F147" s="3"/>
      <c r="G147" t="s" s="19">
        <v>1023</v>
      </c>
      <c r="H147" s="32"/>
      <c r="I147" s="32"/>
      <c r="J147" t="s" s="24">
        <v>154</v>
      </c>
      <c r="K147" s="36"/>
      <c r="L147" s="36"/>
      <c r="M147" s="11">
        <v>8.529999999999999</v>
      </c>
      <c r="N147" s="5">
        <v>8.529999999999999</v>
      </c>
      <c r="O147" s="11"/>
      <c r="P147" s="11"/>
      <c r="Q147" s="37"/>
      <c r="R147" t="s" s="24">
        <v>161</v>
      </c>
      <c r="S147" s="36"/>
      <c r="T147" s="38">
        <f>IF(S147&gt;0,1.048,IF(R147&gt;0,1.048,IF(Q147&gt;0,1.036,0.907+1.55*(P147/N147)-4.449*(P147/N147)^2)))</f>
        <v>1.048</v>
      </c>
      <c r="U147" s="39">
        <v>865</v>
      </c>
      <c r="V147" s="40">
        <f>IF(H147="x",75+U147,IF(M147&lt;6.66,150+U147,-1.7384*M147^2+92.38*M147-388+U147))</f>
        <v>1138.51385144</v>
      </c>
      <c r="W147" s="5"/>
      <c r="X147" s="5"/>
      <c r="Y147" s="5"/>
      <c r="Z147" s="5"/>
      <c r="AA147" s="5"/>
      <c r="AB147" s="5"/>
      <c r="AC147" s="5">
        <v>13.82</v>
      </c>
      <c r="AD147" s="33">
        <v>47.75</v>
      </c>
      <c r="AE147" s="5">
        <f>IF(AD147=0,(W147+4*X147+2*Y147+4*Z147+AA147)*AC147/12+W147*AB147/1.5,AD147)</f>
        <v>47.75</v>
      </c>
      <c r="AF147" s="11">
        <v>14.7</v>
      </c>
      <c r="AG147" s="11">
        <v>0.5</v>
      </c>
      <c r="AH147" s="5">
        <f>IF(AC147=0,AE147+AF147*AG147/2,AE147+AC147*AG147/2)</f>
        <v>51.205</v>
      </c>
      <c r="AI147" s="3"/>
      <c r="AJ147" s="3"/>
      <c r="AK147" s="33">
        <v>14.99</v>
      </c>
      <c r="AL147" s="5">
        <f>IF(AK147=0,AI147*AJ147/2,AK147)</f>
        <v>14.99</v>
      </c>
      <c r="AM147" s="3"/>
      <c r="AN147" s="5"/>
      <c r="AO147" s="5"/>
      <c r="AP147" s="5">
        <f>AL147+AI147*(AN147-AO147)/2</f>
        <v>14.99</v>
      </c>
      <c r="AQ147" s="5">
        <f>0.1*(AE147+AL147)</f>
        <v>6.274000000000001</v>
      </c>
      <c r="AR147" s="11">
        <v>14.7</v>
      </c>
      <c r="AS147" s="11"/>
      <c r="AT147" s="11"/>
      <c r="AU147" s="11"/>
      <c r="AV147" s="33">
        <v>50</v>
      </c>
      <c r="AW147" s="5">
        <f>IF(AV147=0,AS147/6*(AT147+AU147*4),AV147)</f>
        <v>50</v>
      </c>
      <c r="AX147" s="11">
        <v>1.6</v>
      </c>
      <c r="AY147" s="5">
        <f>IF(AX147&lt;0.149*M147+0.329,1,AX147/(0.149*M147+0.329))</f>
        <v>1.000018750351569</v>
      </c>
      <c r="AZ147" s="5">
        <f>IF(AW147*AY147&gt;AL147,(AW147*AY147-AL147)/4,0)</f>
        <v>8.752734379394614</v>
      </c>
      <c r="BA147" s="12">
        <f>0.401+0.1831*(2*AR147^2/(AH147+AP147+AZ147))-0.02016*(2*AR147^2/(AH147+AP147+AZ147))^2+0.0007472*(2*AR147^2/(AH147+AP147+AZ147))^3</f>
        <v>0.929749352606574</v>
      </c>
      <c r="BB147" s="3"/>
      <c r="BC147" s="3"/>
      <c r="BD147" s="3"/>
      <c r="BE147" s="3"/>
      <c r="BF147" s="33"/>
      <c r="BG147" s="5">
        <v>65</v>
      </c>
      <c r="BH147" s="5">
        <f>IF(BG147*AY147&gt;AL147+AZ147,BG147*AY147-AL147-AZ147,0)</f>
        <v>41.25848439345738</v>
      </c>
      <c r="BI147" s="5">
        <f>IF(M147/1.6&lt;8,ROUND(M147/1.6,0),8)</f>
        <v>5</v>
      </c>
      <c r="BJ147" s="5">
        <f>(AH147+AP147+AZ147)*BA147+0.1*BH147</f>
        <v>73.80845595791735</v>
      </c>
      <c r="BK147" s="11">
        <v>1.22</v>
      </c>
      <c r="BL147" s="5">
        <f>M147*0.2</f>
        <v>1.706</v>
      </c>
      <c r="BM147" s="5">
        <f>ROUNDDOWN(M147/2.13,0)</f>
        <v>4</v>
      </c>
      <c r="BN147" s="12">
        <f>M147/4.26</f>
        <v>2.002347417840376</v>
      </c>
      <c r="BO147" s="5">
        <f>IF(M147&lt;8,1.22,IF(M147&lt;15.2,0.108333*M147+0.353,2))</f>
        <v>1.27708049</v>
      </c>
      <c r="BP147" s="12">
        <f>IF(BK147&lt;BO147,1+0.3*(BO147-BK147)/M147,1)</f>
        <v>1.002007520164127</v>
      </c>
      <c r="BQ147" s="32"/>
      <c r="BR147" s="39">
        <v>0</v>
      </c>
      <c r="BS147" t="s" s="24">
        <v>154</v>
      </c>
      <c r="BT147" s="36"/>
      <c r="BU147" s="36"/>
      <c r="BV147" s="5">
        <f>IF(BQ147&lt;(M147/0.3048)^0.5,1,IF(BU147="x",1-BR147*0.02,IF(BT147="x",1-BR147*0.01,1)))</f>
        <v>1</v>
      </c>
      <c r="BW147" s="12">
        <f>IF(K147="x",MIN(1.315,1.28+U147*N147/BJ147/AR147/1100),IF(L147="x",1.28,MAX(1.245,1.28-U147*N147/BJ147/AR147/1100)))</f>
        <v>1.273817715332634</v>
      </c>
      <c r="BX147" s="41">
        <f>BW147*T147*BV147*BP147*N147^0.3*BJ147^0.4/V147^0.325</f>
        <v>1.443965283651528</v>
      </c>
      <c r="BY147" s="29"/>
      <c r="BZ147" s="29"/>
      <c r="CA147" t="s" s="19">
        <v>162</v>
      </c>
      <c r="CB147" t="s" s="19">
        <v>393</v>
      </c>
      <c r="CC147" t="s" s="19">
        <v>254</v>
      </c>
      <c r="CD147" t="s" s="19">
        <v>340</v>
      </c>
      <c r="CE147" t="s" s="19">
        <v>1024</v>
      </c>
      <c r="CF147" s="3"/>
      <c r="CG147" t="s" s="30">
        <f>A147</f>
        <v>1025</v>
      </c>
    </row>
    <row r="148" ht="12.75" customHeight="1">
      <c r="A148" t="s" s="25">
        <v>1026</v>
      </c>
      <c r="B148" t="s" s="19">
        <v>1027</v>
      </c>
      <c r="C148" t="s" s="19">
        <v>754</v>
      </c>
      <c r="D148" t="s" s="19">
        <v>427</v>
      </c>
      <c r="E148" t="s" s="19">
        <v>1028</v>
      </c>
      <c r="F148" s="3"/>
      <c r="G148" s="3"/>
      <c r="H148" s="32"/>
      <c r="I148" s="32"/>
      <c r="J148" t="s" s="24">
        <v>154</v>
      </c>
      <c r="K148" s="36"/>
      <c r="L148" s="36"/>
      <c r="M148" s="11">
        <v>8.5</v>
      </c>
      <c r="N148" s="5">
        <v>8.5</v>
      </c>
      <c r="O148" s="11">
        <v>5.06</v>
      </c>
      <c r="P148" s="11">
        <v>0.7</v>
      </c>
      <c r="Q148" s="37"/>
      <c r="R148" s="36"/>
      <c r="S148" s="36"/>
      <c r="T148" s="38">
        <f>IF(S148&gt;0,1.048,IF(R148&gt;0,1.048,IF(Q148&gt;0,1.036,0.907+1.55*(P148/N148)-4.449*(P148/N148)^2)))</f>
        <v>1.004473910034602</v>
      </c>
      <c r="U148" s="39">
        <v>1200</v>
      </c>
      <c r="V148" s="40">
        <f>IF(H148="x",75+U148,IF(M148&lt;6.66,150+U148,-1.7384*M148^2+92.38*M148-388+U148))</f>
        <v>1471.6306</v>
      </c>
      <c r="W148" s="5">
        <v>3.55</v>
      </c>
      <c r="X148" s="5">
        <v>3.42</v>
      </c>
      <c r="Y148" s="5">
        <v>3</v>
      </c>
      <c r="Z148" s="5">
        <v>2</v>
      </c>
      <c r="AA148" s="5">
        <v>0.35</v>
      </c>
      <c r="AB148" s="5"/>
      <c r="AC148" s="5">
        <v>10</v>
      </c>
      <c r="AD148" s="33"/>
      <c r="AE148" s="5">
        <f>IF(AD148=0,(W148+4*X148+2*Y148+4*Z148+AA148)*AC148/12+W148*AB148/1.5,AD148)</f>
        <v>26.31666666666667</v>
      </c>
      <c r="AF148" s="11">
        <v>10.7</v>
      </c>
      <c r="AG148" s="11">
        <v>0.503</v>
      </c>
      <c r="AH148" s="5">
        <f>IF(AC148=0,AE148+AF148*AG148/2,AE148+AC148*AG148/2)</f>
        <v>28.83166666666667</v>
      </c>
      <c r="AI148" s="5">
        <v>8.32</v>
      </c>
      <c r="AJ148" s="5">
        <v>4</v>
      </c>
      <c r="AK148" s="33"/>
      <c r="AL148" s="5">
        <f>IF(AK148=0,AI148*AJ148/2,AK148)</f>
        <v>16.64</v>
      </c>
      <c r="AM148" s="3"/>
      <c r="AN148" s="5"/>
      <c r="AO148" s="5"/>
      <c r="AP148" s="5">
        <f>AL148+AI148*(AN148-AO148)/2</f>
        <v>16.64</v>
      </c>
      <c r="AQ148" s="5">
        <f>0.1*(AE148+AL148)</f>
        <v>4.295666666666667</v>
      </c>
      <c r="AR148" s="11">
        <v>10.75</v>
      </c>
      <c r="AS148" s="11"/>
      <c r="AT148" s="11"/>
      <c r="AU148" s="11"/>
      <c r="AV148" s="33">
        <v>0</v>
      </c>
      <c r="AW148" s="5">
        <f>IF(AV148=0,AS148/6*(AT148+AU148*4),AV148)</f>
        <v>0</v>
      </c>
      <c r="AX148" s="11"/>
      <c r="AY148" s="5">
        <f>IF(AX148&lt;0.149*M148+0.329,1,AX148/(0.149*M148+0.329))</f>
        <v>1</v>
      </c>
      <c r="AZ148" s="5">
        <f>IF(AW148*AY148&gt;AL148,(AW148*AY148-AL148)/4,0)</f>
        <v>0</v>
      </c>
      <c r="BA148" s="12">
        <f>0.401+0.1831*(2*AR148^2/(AH148+AP148+AZ148))-0.02016*(2*AR148^2/(AH148+AP148+AZ148))^2+0.0007472*(2*AR148^2/(AH148+AP148+AZ148))^3</f>
        <v>0.9089486420046089</v>
      </c>
      <c r="BB148" s="5">
        <v>5.5</v>
      </c>
      <c r="BC148" s="5">
        <v>9.1</v>
      </c>
      <c r="BD148" s="5">
        <v>9.1</v>
      </c>
      <c r="BE148" s="5">
        <v>5.1</v>
      </c>
      <c r="BF148" s="33"/>
      <c r="BG148" s="5">
        <f>IF(BF148=0,(BC148+BD148)*(BB148/12+BE148/3),BF148)</f>
        <v>39.28166666666667</v>
      </c>
      <c r="BH148" s="5">
        <f>IF(BG148*AY148&gt;AL148+AZ148,BG148*AY148-AL148-AZ148,0)</f>
        <v>22.64166666666667</v>
      </c>
      <c r="BI148" s="5">
        <f>IF(M148/1.6&lt;8,ROUND(M148/1.6,0),8)</f>
        <v>5</v>
      </c>
      <c r="BJ148" s="5">
        <f>(AH148+AP148+AZ148)*BA148+0.1*BH148</f>
        <v>43.59557633301957</v>
      </c>
      <c r="BK148" s="11">
        <v>1.22</v>
      </c>
      <c r="BL148" s="5">
        <f>M148*0.2</f>
        <v>1.7</v>
      </c>
      <c r="BM148" s="5">
        <f>ROUNDDOWN(M148/2.13,0)</f>
        <v>3</v>
      </c>
      <c r="BN148" s="12">
        <f>M148/4.26</f>
        <v>1.995305164319249</v>
      </c>
      <c r="BO148" s="5">
        <f>IF(M148&lt;8,1.22,IF(M148&lt;15.2,0.108333*M148+0.353,2))</f>
        <v>1.2738305</v>
      </c>
      <c r="BP148" s="12">
        <f>IF(BK148&lt;BO148,1+0.3*(BO148-BK148)/M148,1)</f>
        <v>1.0018999</v>
      </c>
      <c r="BQ148" s="32"/>
      <c r="BR148" s="39">
        <v>0</v>
      </c>
      <c r="BS148" t="s" s="24">
        <v>154</v>
      </c>
      <c r="BT148" s="36"/>
      <c r="BU148" s="36"/>
      <c r="BV148" s="5">
        <f>IF(BQ148&lt;(M148/0.3048)^0.5,1,IF(BU148="x",1-BR148*0.02,IF(BT148="x",1-BR148*0.01,1)))</f>
        <v>1</v>
      </c>
      <c r="BW148" s="12">
        <f>IF(K148="x",MIN(1.315,1.28+U148*N148/BJ148/AR148/1100),IF(L148="x",1.28,MAX(1.245,1.28-U148*N148/BJ148/AR148/1100)))</f>
        <v>1.260214064046434</v>
      </c>
      <c r="BX148" s="41">
        <f>BW148*T148*BV148*BP148*N148^0.3*BJ148^0.4/V148^0.325</f>
        <v>1.019237397397363</v>
      </c>
      <c r="BY148" s="29"/>
      <c r="BZ148" s="29"/>
      <c r="CA148" t="s" s="19">
        <v>213</v>
      </c>
      <c r="CB148" t="s" s="19">
        <v>430</v>
      </c>
      <c r="CC148" t="s" s="19">
        <v>180</v>
      </c>
      <c r="CD148" s="3"/>
      <c r="CE148" s="3"/>
      <c r="CF148" s="3"/>
      <c r="CG148" t="s" s="30">
        <f>A148</f>
        <v>1029</v>
      </c>
    </row>
    <row r="149" ht="12.75" customHeight="1">
      <c r="A149" t="s" s="25">
        <v>1030</v>
      </c>
      <c r="B149" t="s" s="19">
        <v>1031</v>
      </c>
      <c r="C149" t="s" s="19">
        <v>304</v>
      </c>
      <c r="D149" t="s" s="19">
        <v>305</v>
      </c>
      <c r="E149" t="s" s="19">
        <v>1032</v>
      </c>
      <c r="F149" t="s" s="19">
        <v>1033</v>
      </c>
      <c r="G149" t="s" s="19">
        <v>1034</v>
      </c>
      <c r="H149" s="32"/>
      <c r="I149" s="32"/>
      <c r="J149" t="s" s="24">
        <v>154</v>
      </c>
      <c r="K149" s="36"/>
      <c r="L149" s="36"/>
      <c r="M149" s="11">
        <v>11.9</v>
      </c>
      <c r="N149" s="5">
        <v>11.9</v>
      </c>
      <c r="O149" s="11">
        <v>6.5</v>
      </c>
      <c r="P149" s="11">
        <v>1.1</v>
      </c>
      <c r="Q149" s="37"/>
      <c r="R149" s="36"/>
      <c r="S149" s="36"/>
      <c r="T149" s="38">
        <f>IF(S149&gt;0,1.048,IF(R149&gt;0,1.048,IF(Q149&gt;0,1.036,0.907+1.55*(P149/N149)-4.449*(P149/N149)^2)))</f>
        <v>1.012262410846692</v>
      </c>
      <c r="U149" s="39">
        <v>6200</v>
      </c>
      <c r="V149" s="40">
        <f>IF(H149="x",75+U149,IF(M149&lt;6.66,150+U149,-1.7384*M149^2+92.38*M149-388+U149))</f>
        <v>6665.147175999999</v>
      </c>
      <c r="W149" s="5"/>
      <c r="X149" s="5"/>
      <c r="Y149" s="5"/>
      <c r="Z149" s="5"/>
      <c r="AA149" s="5"/>
      <c r="AB149" s="5"/>
      <c r="AC149" s="5"/>
      <c r="AD149" s="33">
        <v>55</v>
      </c>
      <c r="AE149" s="5">
        <f>IF(AD149=0,(W149+4*X149+2*Y149+4*Z149+AA149)*AC149/12+W149*AB149/1.5,AD149)</f>
        <v>55</v>
      </c>
      <c r="AF149" s="11">
        <v>15.4</v>
      </c>
      <c r="AG149" s="11"/>
      <c r="AH149" s="5">
        <f>IF(AC149=0,AE149+AF149*AG149/2,AE149+AC149*AG149/2)</f>
        <v>55</v>
      </c>
      <c r="AI149" s="3"/>
      <c r="AJ149" s="3"/>
      <c r="AK149" s="33">
        <v>35</v>
      </c>
      <c r="AL149" s="5">
        <f>IF(AK149=0,AI149*AJ149/2,AK149)</f>
        <v>35</v>
      </c>
      <c r="AM149" s="3"/>
      <c r="AN149" s="5"/>
      <c r="AO149" s="5">
        <v>0.15</v>
      </c>
      <c r="AP149" s="5">
        <f>AL149+AI149*(AN149-AO149)/2</f>
        <v>35</v>
      </c>
      <c r="AQ149" s="5">
        <f>0.1*(AE149+AL149)</f>
        <v>9</v>
      </c>
      <c r="AR149" s="11">
        <v>15.4</v>
      </c>
      <c r="AS149" s="11"/>
      <c r="AT149" s="11"/>
      <c r="AU149" s="11"/>
      <c r="AV149" s="33">
        <v>65</v>
      </c>
      <c r="AW149" s="5">
        <f>IF(AV149=0,AS149/6*(AT149+AU149*4),AV149)</f>
        <v>65</v>
      </c>
      <c r="AX149" s="11">
        <v>0</v>
      </c>
      <c r="AY149" s="5">
        <f>IF(AX149&lt;0.149*M149+0.329,1,AX149/(0.149*M149+0.329))</f>
        <v>1</v>
      </c>
      <c r="AZ149" s="5">
        <f>IF(AW149*AY149&gt;AL149,(AW149*AY149-AL149)/4,0)</f>
        <v>7.5</v>
      </c>
      <c r="BA149" s="12">
        <f>0.401+0.1831*(2*AR149^2/(AH149+AP149+AZ149))-0.02016*(2*AR149^2/(AH149+AP149+AZ149))^2+0.0007472*(2*AR149^2/(AH149+AP149+AZ149))^3</f>
        <v>0.9006599320006238</v>
      </c>
      <c r="BB149" s="3"/>
      <c r="BC149" s="3"/>
      <c r="BD149" s="3"/>
      <c r="BE149" s="3"/>
      <c r="BF149" s="33">
        <v>108</v>
      </c>
      <c r="BG149" s="5">
        <f>IF(BF149=0,(BC149+BD149)*(BB149/12+BE149/3),BF149)</f>
        <v>108</v>
      </c>
      <c r="BH149" s="5">
        <f>IF(BG149*AY149&gt;AL149+AZ149,BG149*AY149-AL149-AZ149,0)</f>
        <v>65.5</v>
      </c>
      <c r="BI149" s="5">
        <f>IF(M149/1.6&lt;8,ROUND(M149/1.6,0),8)</f>
        <v>7</v>
      </c>
      <c r="BJ149" s="5">
        <f>(AH149+AP149+AZ149)*BA149+0.1*BH149</f>
        <v>94.36434337006081</v>
      </c>
      <c r="BK149" s="11">
        <v>2</v>
      </c>
      <c r="BL149" s="5">
        <f>M149*0.2</f>
        <v>2.38</v>
      </c>
      <c r="BM149" s="5">
        <f>ROUNDDOWN(M149/2.13,0)</f>
        <v>5</v>
      </c>
      <c r="BN149" s="12">
        <f>M149/4.26</f>
        <v>2.793427230046948</v>
      </c>
      <c r="BO149" s="5">
        <f>IF(M149&lt;8,1.22,IF(M149&lt;15.2,0.108333*M149+0.353,2))</f>
        <v>1.6421627</v>
      </c>
      <c r="BP149" s="12">
        <f>IF(BK149&lt;BO149,1+0.3*(BO149-BK149)/M149,1)</f>
        <v>1</v>
      </c>
      <c r="BQ149" s="39">
        <v>8</v>
      </c>
      <c r="BR149" s="39">
        <v>2</v>
      </c>
      <c r="BS149" s="36"/>
      <c r="BT149" s="36"/>
      <c r="BU149" t="s" s="24">
        <v>154</v>
      </c>
      <c r="BV149" s="5">
        <f>IF(BQ149&lt;(M149/0.3048)^0.5,1,IF(BU149="x",1-BR149*0.02,IF(BT149="x",1-BR149*0.01,1)))</f>
        <v>0.96</v>
      </c>
      <c r="BW149" s="12">
        <f>IF(K149="x",MIN(1.315,1.28+U149*N149/BJ149/AR149/1100),IF(L149="x",1.28,MAX(1.245,1.28-U149*N149/BJ149/AR149/1100)))</f>
        <v>1.245</v>
      </c>
      <c r="BX149" s="41">
        <f>BW149*T149*BV149*BP149*N149^0.3*BJ149^0.4/V149^0.325</f>
        <v>0.8965670732934405</v>
      </c>
      <c r="BY149" s="48"/>
      <c r="BZ149" s="48"/>
      <c r="CA149" t="s" s="19">
        <v>188</v>
      </c>
      <c r="CB149" t="s" s="19">
        <v>1035</v>
      </c>
      <c r="CC149" t="s" s="19">
        <v>164</v>
      </c>
      <c r="CD149" t="s" s="19">
        <v>1036</v>
      </c>
      <c r="CE149" s="3"/>
      <c r="CF149" s="3"/>
      <c r="CG149" t="s" s="30">
        <f>A149</f>
        <v>1037</v>
      </c>
    </row>
    <row r="150" ht="12.75" customHeight="1">
      <c r="A150" t="s" s="25">
        <v>1038</v>
      </c>
      <c r="B150" t="s" s="19">
        <v>1039</v>
      </c>
      <c r="C150" t="s" s="19">
        <v>773</v>
      </c>
      <c r="D150" t="s" s="19">
        <v>1040</v>
      </c>
      <c r="E150" t="s" s="19">
        <v>1041</v>
      </c>
      <c r="F150" s="3"/>
      <c r="G150" s="3"/>
      <c r="H150" s="32"/>
      <c r="I150" s="32"/>
      <c r="J150" s="36"/>
      <c r="K150" s="36"/>
      <c r="L150" t="s" s="24">
        <v>154</v>
      </c>
      <c r="M150" s="11">
        <v>9.300000000000001</v>
      </c>
      <c r="N150" s="5">
        <v>9.300000000000001</v>
      </c>
      <c r="O150" s="11">
        <v>9</v>
      </c>
      <c r="P150" s="11">
        <v>0.4</v>
      </c>
      <c r="Q150" s="37"/>
      <c r="R150" s="36"/>
      <c r="S150" s="36"/>
      <c r="T150" s="38">
        <f>IF(S150&gt;0,1.048,IF(R150&gt;0,1.048,IF(Q150&gt;0,1.036,0.907+1.55*(P150/N150)-4.449*(P150/N150)^2)))</f>
        <v>0.9654363510232397</v>
      </c>
      <c r="U150" s="39">
        <v>1200</v>
      </c>
      <c r="V150" s="40">
        <f>IF(H150="x",75+U150,IF(M150&lt;6.66,150+U150,-1.7384*M150^2+92.38*M150-388+U150))</f>
        <v>1520.779784</v>
      </c>
      <c r="W150" s="5"/>
      <c r="X150" s="5"/>
      <c r="Y150" s="5"/>
      <c r="Z150" s="5"/>
      <c r="AA150" s="5"/>
      <c r="AB150" s="5"/>
      <c r="AC150" s="5"/>
      <c r="AD150" s="33">
        <v>34</v>
      </c>
      <c r="AE150" s="5">
        <f>IF(AD150=0,(W150+4*X150+2*Y150+4*Z150+AA150)*AC150/12+W150*AB150/1.5,AD150)</f>
        <v>34</v>
      </c>
      <c r="AF150" s="11">
        <v>12.5</v>
      </c>
      <c r="AG150" s="11"/>
      <c r="AH150" s="5">
        <f>IF(AC150=0,AE150+AF150*AG150/2,AE150+AC150*AG150/2)</f>
        <v>34</v>
      </c>
      <c r="AI150" s="3"/>
      <c r="AJ150" s="3"/>
      <c r="AK150" s="33">
        <v>25</v>
      </c>
      <c r="AL150" s="5">
        <f>IF(AK150=0,AI150*AJ150/2,AK150)</f>
        <v>25</v>
      </c>
      <c r="AM150" s="3"/>
      <c r="AN150" s="5"/>
      <c r="AO150" s="5"/>
      <c r="AP150" s="5">
        <f>AL150+AI150*(AN150-AO150)/2</f>
        <v>25</v>
      </c>
      <c r="AQ150" s="5">
        <f>0.1*(AE150+AL150)</f>
        <v>5.9</v>
      </c>
      <c r="AR150" s="11">
        <v>12.5</v>
      </c>
      <c r="AS150" s="11"/>
      <c r="AT150" s="11"/>
      <c r="AU150" s="11"/>
      <c r="AV150" s="33"/>
      <c r="AW150" s="5">
        <f>IF(AV150=0,AS150/6*(AT150+AU150*4),AV150)</f>
        <v>0</v>
      </c>
      <c r="AX150" s="11"/>
      <c r="AY150" s="5">
        <f>IF(AX150&lt;0.149*M150+0.329,1,AX150/(0.149*M150+0.329))</f>
        <v>1</v>
      </c>
      <c r="AZ150" s="5">
        <f>IF(AW150*AY150&gt;AL150,(AW150*AY150-AL150)/4,0)</f>
        <v>0</v>
      </c>
      <c r="BA150" s="12">
        <f>0.401+0.1831*(2*AR150^2/(AH150+AP150+AZ150))-0.02016*(2*AR150^2/(AH150+AP150+AZ150))^2+0.0007472*(2*AR150^2/(AH150+AP150+AZ150))^3</f>
        <v>0.9162666685737102</v>
      </c>
      <c r="BB150" s="3"/>
      <c r="BC150" s="3"/>
      <c r="BD150" s="3"/>
      <c r="BE150" s="3"/>
      <c r="BF150" s="33">
        <v>77</v>
      </c>
      <c r="BG150" s="5">
        <f>IF(BF150=0,(BC150+BD150)*(BB150/12+BE150/3),BF150)</f>
        <v>77</v>
      </c>
      <c r="BH150" s="5">
        <f>IF(BG150*AY150&gt;AL150+AZ150,BG150*AY150-AL150-AZ150,0)</f>
        <v>52</v>
      </c>
      <c r="BI150" s="5">
        <f>IF(M150/1.6&lt;8,ROUND(M150/1.6,0),8)</f>
        <v>6</v>
      </c>
      <c r="BJ150" s="5">
        <f>(AH150+AP150+AZ150)*BA150+0.1*BH150</f>
        <v>59.2597334458489</v>
      </c>
      <c r="BK150" s="11">
        <v>1.7</v>
      </c>
      <c r="BL150" s="5">
        <f>M150*0.2</f>
        <v>1.86</v>
      </c>
      <c r="BM150" s="5">
        <f>ROUNDDOWN(M150/2.13,0)</f>
        <v>4</v>
      </c>
      <c r="BN150" s="12">
        <f>M150/4.26</f>
        <v>2.183098591549296</v>
      </c>
      <c r="BO150" s="5">
        <f>IF(M150&lt;8,1.22,IF(M150&lt;15.2,0.108333*M150+0.353,2))</f>
        <v>1.3604969</v>
      </c>
      <c r="BP150" s="12">
        <f>IF(BK150&lt;BO150,1+0.3*(BO150-BK150)/M150,1)</f>
        <v>1</v>
      </c>
      <c r="BQ150" s="32"/>
      <c r="BR150" s="32"/>
      <c r="BS150" t="s" s="24">
        <v>154</v>
      </c>
      <c r="BT150" s="36"/>
      <c r="BU150" s="36"/>
      <c r="BV150" s="5">
        <f>IF(BQ150&lt;(M150/0.3048)^0.5,1,IF(BU150="x",1-BR150*0.02,IF(BT150="x",1-BR150*0.01,1)))</f>
        <v>1</v>
      </c>
      <c r="BW150" s="12">
        <f>IF(K150="x",MIN(1.315,1.28+U150*N150/BJ150/AR150/1100),IF(L150="x",1.28,MAX(1.245,1.28-U150*N150/BJ150/AR150/1100)))</f>
        <v>1.28</v>
      </c>
      <c r="BX150" s="41">
        <f>BW150*T150*BV150*BP150*N150^0.3*BJ150^0.4/V150^0.325</f>
        <v>1.141328918104116</v>
      </c>
      <c r="BY150" s="29"/>
      <c r="BZ150" s="29"/>
      <c r="CA150" t="s" s="19">
        <v>162</v>
      </c>
      <c r="CB150" s="42">
        <v>1997</v>
      </c>
      <c r="CC150" t="s" s="19">
        <v>164</v>
      </c>
      <c r="CD150" s="3"/>
      <c r="CE150" s="3"/>
      <c r="CF150" s="3"/>
      <c r="CG150" t="s" s="30">
        <f>A150</f>
        <v>1042</v>
      </c>
    </row>
    <row r="151" ht="12.75" customHeight="1">
      <c r="A151" t="s" s="25">
        <v>1043</v>
      </c>
      <c r="B151" t="s" s="19">
        <v>1044</v>
      </c>
      <c r="C151" t="s" s="19">
        <v>213</v>
      </c>
      <c r="D151" t="s" s="19">
        <v>998</v>
      </c>
      <c r="E151" t="s" s="19">
        <v>1045</v>
      </c>
      <c r="F151" s="3"/>
      <c r="G151" s="3"/>
      <c r="H151" s="32"/>
      <c r="I151" s="32"/>
      <c r="J151" s="36"/>
      <c r="K151" t="s" s="24">
        <v>154</v>
      </c>
      <c r="L151" s="36"/>
      <c r="M151" s="11">
        <v>7.99</v>
      </c>
      <c r="N151" s="5">
        <v>7.99</v>
      </c>
      <c r="O151" s="11">
        <v>6.8</v>
      </c>
      <c r="P151" s="11"/>
      <c r="Q151" s="37"/>
      <c r="R151" t="s" s="24">
        <v>1000</v>
      </c>
      <c r="S151" s="36"/>
      <c r="T151" s="38">
        <f>IF(S151&gt;0,1.048,IF(R151&gt;0,1.048,IF(Q151&gt;0,1.036,0.907+1.55*(P151/N151)-4.449*(P151/N151)^2)))</f>
        <v>1.048</v>
      </c>
      <c r="U151" s="39">
        <v>1430</v>
      </c>
      <c r="V151" s="40">
        <f>IF(H151="x",75+U151,IF(M151&lt;6.66,150+U151,-1.7384*M151^2+92.38*M151-388+U151))</f>
        <v>1669.13657016</v>
      </c>
      <c r="W151" s="5">
        <v>3.8</v>
      </c>
      <c r="X151" s="5">
        <v>3.74</v>
      </c>
      <c r="Y151" s="5">
        <v>3.43</v>
      </c>
      <c r="Z151" s="5">
        <v>2.7</v>
      </c>
      <c r="AA151" s="5">
        <v>0.155</v>
      </c>
      <c r="AB151" s="5"/>
      <c r="AC151" s="5">
        <v>11.2</v>
      </c>
      <c r="AD151" s="33"/>
      <c r="AE151" s="5">
        <f>IF(AD151=0,(W151+4*X151+2*Y151+4*Z151+AA151)*AC151/12+W151*AB151/1.5,AD151)</f>
        <v>34.13666666666666</v>
      </c>
      <c r="AF151" s="11">
        <v>12.5</v>
      </c>
      <c r="AG151" s="11"/>
      <c r="AH151" s="5">
        <f>IF(AC151=0,AE151+AF151*AG151/2,AE151+AC151*AG151/2)</f>
        <v>34.13666666666666</v>
      </c>
      <c r="AI151" s="5">
        <v>8.890000000000001</v>
      </c>
      <c r="AJ151" s="5">
        <v>2.23</v>
      </c>
      <c r="AK151" s="33"/>
      <c r="AL151" s="5">
        <f>IF(AK151=0,AI151*AJ151/2,AK151)</f>
        <v>9.91235</v>
      </c>
      <c r="AM151" s="3"/>
      <c r="AN151" s="5">
        <v>0.064</v>
      </c>
      <c r="AO151" s="5"/>
      <c r="AP151" s="5">
        <f>AL151+AI151*(AN151-AO151)/2</f>
        <v>10.19683</v>
      </c>
      <c r="AQ151" s="5">
        <f>0.1*(AE151+AL151)</f>
        <v>4.404901666666666</v>
      </c>
      <c r="AR151" s="11">
        <v>12.5</v>
      </c>
      <c r="AS151" s="11"/>
      <c r="AT151" s="11"/>
      <c r="AU151" s="11"/>
      <c r="AV151" s="33"/>
      <c r="AW151" s="5">
        <f>IF(AV151=0,AS151/6*(AT151+AU151*4),AV151)</f>
        <v>0</v>
      </c>
      <c r="AX151" s="11">
        <v>1.4</v>
      </c>
      <c r="AY151" s="5">
        <f>IF(AX151&lt;0.149*M151+0.329,1,AX151/(0.149*M151+0.329))</f>
        <v>1</v>
      </c>
      <c r="AZ151" s="5">
        <f>IF(AW151*AY151&gt;AL151,(AW151*AY151-AL151)/4,0)</f>
        <v>0</v>
      </c>
      <c r="BA151" s="12">
        <f>0.401+0.1831*(2*AR151^2/(AH151+AP151+AZ151))-0.02016*(2*AR151^2/(AH151+AP151+AZ151))^2+0.0007472*(2*AR151^2/(AH151+AP151+AZ151))^3</f>
        <v>0.9516616010423993</v>
      </c>
      <c r="BB151" s="5">
        <v>7</v>
      </c>
      <c r="BC151" s="5">
        <v>11.6</v>
      </c>
      <c r="BD151" s="5">
        <v>10.24</v>
      </c>
      <c r="BE151" s="5">
        <v>4.58</v>
      </c>
      <c r="BF151" s="33"/>
      <c r="BG151" s="5">
        <f>IF(BF151=0,(BC151+BD151)*(BB151/12+BE151/3),BF151)</f>
        <v>46.0824</v>
      </c>
      <c r="BH151" s="5">
        <f>IF(BG151*AY151&gt;AL151+AZ151,BG151*AY151-AL151-AZ151,0)</f>
        <v>36.17005</v>
      </c>
      <c r="BI151" s="5">
        <f>IF(M151/1.6&lt;8,ROUND(M151/1.6,0),8)</f>
        <v>5</v>
      </c>
      <c r="BJ151" s="5">
        <f>(AH151+AP151+AZ151)*BA151+0.1*BH151</f>
        <v>45.80749141760786</v>
      </c>
      <c r="BK151" s="11">
        <v>1.7</v>
      </c>
      <c r="BL151" s="5">
        <f>M151*0.2</f>
        <v>1.598</v>
      </c>
      <c r="BM151" s="5">
        <f>ROUNDDOWN(M151/2.13,0)</f>
        <v>3</v>
      </c>
      <c r="BN151" s="12">
        <f>M151/4.26</f>
        <v>1.875586854460094</v>
      </c>
      <c r="BO151" s="5">
        <f>IF(M151&lt;8,1.22,IF(M151&lt;15.2,0.108333*M151+0.353,2))</f>
        <v>1.22</v>
      </c>
      <c r="BP151" s="12">
        <f>IF(BK151&lt;BO151,1+0.3*(BO151-BK151)/M151,1)</f>
        <v>1</v>
      </c>
      <c r="BQ151" s="32"/>
      <c r="BR151" s="32"/>
      <c r="BS151" t="s" s="24">
        <v>154</v>
      </c>
      <c r="BT151" s="36"/>
      <c r="BU151" s="36"/>
      <c r="BV151" s="5">
        <f>IF(BQ151&lt;(M151/0.3048)^0.5,1,IF(BU151="x",1-BR151*0.02,IF(BT151="x",1-BR151*0.01,1)))</f>
        <v>1</v>
      </c>
      <c r="BW151" s="12">
        <f>IF(K151="x",MIN(1.315,1.28+U151*N151/BJ151/AR151/1100),IF(L151="x",1.28,MAX(1.245,1.28-U151*N151/BJ151/AR151/1100)))</f>
        <v>1.298140264273031</v>
      </c>
      <c r="BX151" s="41">
        <f>BW151*T151*BV151*BP151*N151^0.3*BJ151^0.4/V151^0.325</f>
        <v>1.050779719297891</v>
      </c>
      <c r="BY151" s="29"/>
      <c r="BZ151" s="29"/>
      <c r="CA151" t="s" s="19">
        <v>162</v>
      </c>
      <c r="CB151" t="s" s="19">
        <v>711</v>
      </c>
      <c r="CC151" t="s" s="19">
        <v>254</v>
      </c>
      <c r="CD151" t="s" s="19">
        <v>415</v>
      </c>
      <c r="CE151" s="3"/>
      <c r="CF151" s="3"/>
      <c r="CG151" t="s" s="30">
        <f>A151</f>
        <v>1046</v>
      </c>
    </row>
    <row r="152" ht="12.75" customHeight="1">
      <c r="A152" t="s" s="25">
        <v>1047</v>
      </c>
      <c r="B152" t="s" s="19">
        <v>1048</v>
      </c>
      <c r="C152" t="s" s="19">
        <v>344</v>
      </c>
      <c r="D152" t="s" s="19">
        <v>345</v>
      </c>
      <c r="E152" t="s" s="19">
        <v>1049</v>
      </c>
      <c r="F152" t="s" s="19">
        <v>1050</v>
      </c>
      <c r="G152" t="s" s="19">
        <v>1051</v>
      </c>
      <c r="H152" s="32"/>
      <c r="I152" s="32"/>
      <c r="J152" s="36"/>
      <c r="K152" t="s" s="24">
        <v>154</v>
      </c>
      <c r="L152" s="36"/>
      <c r="M152" s="11">
        <v>7.4</v>
      </c>
      <c r="N152" s="5">
        <v>7.32</v>
      </c>
      <c r="O152" s="11">
        <v>5.53</v>
      </c>
      <c r="P152" s="11"/>
      <c r="Q152" s="37"/>
      <c r="R152" s="43">
        <v>1.6</v>
      </c>
      <c r="S152" s="36"/>
      <c r="T152" s="38">
        <f>IF(S152&gt;0,1.048,IF(R152&gt;0,1.048,IF(Q152&gt;0,1.036,0.907+1.55*(P152/N152)-4.449*(P152/N152)^2)))</f>
        <v>1.048</v>
      </c>
      <c r="U152" s="39">
        <v>1120</v>
      </c>
      <c r="V152" s="40">
        <f>IF(H152="x",75+U152,IF(M152&lt;6.66,150+U152,-1.7384*M152^2+92.38*M152-388+U152))</f>
        <v>1320.417216</v>
      </c>
      <c r="W152" s="5"/>
      <c r="X152" s="5"/>
      <c r="Y152" s="5"/>
      <c r="Z152" s="5"/>
      <c r="AA152" s="5"/>
      <c r="AB152" s="5"/>
      <c r="AC152" s="5">
        <v>9.84</v>
      </c>
      <c r="AD152" s="33">
        <v>24.87</v>
      </c>
      <c r="AE152" s="5">
        <f>IF(AD152=0,(W152+4*X152+2*Y152+4*Z152+AA152)*AC152/12+W152*AB152/1.5,AD152)</f>
        <v>24.87</v>
      </c>
      <c r="AF152" s="11">
        <v>10.55</v>
      </c>
      <c r="AG152" s="11">
        <v>0.48</v>
      </c>
      <c r="AH152" s="5">
        <f>IF(AC152=0,AE152+AF152*AG152/2,AE152+AC152*AG152/2)</f>
        <v>27.2316</v>
      </c>
      <c r="AI152" s="5">
        <v>8.99</v>
      </c>
      <c r="AJ152" s="3"/>
      <c r="AK152" s="33">
        <v>13.3</v>
      </c>
      <c r="AL152" s="5">
        <f>IF(AK152=0,AI152*AJ152/2,AK152)</f>
        <v>13.3</v>
      </c>
      <c r="AM152" t="s" s="19">
        <v>154</v>
      </c>
      <c r="AN152" s="5"/>
      <c r="AO152" s="5"/>
      <c r="AP152" s="5">
        <f>AL152+AI152*(AN152-AO152)/2</f>
        <v>13.3</v>
      </c>
      <c r="AQ152" s="5">
        <f>0.1*(AE152+AL152)</f>
        <v>3.817</v>
      </c>
      <c r="AR152" s="11">
        <v>10.88</v>
      </c>
      <c r="AS152" s="11"/>
      <c r="AT152" s="11"/>
      <c r="AU152" s="11"/>
      <c r="AV152" s="33">
        <v>24.33</v>
      </c>
      <c r="AW152" s="5">
        <f>IF(AV152=0,AS152/6*(AT152+AU152*4),AV152)</f>
        <v>24.33</v>
      </c>
      <c r="AX152" s="11">
        <v>1.8</v>
      </c>
      <c r="AY152" s="5">
        <f>IF(AX152&lt;0.149*M152+0.329,1,AX152/(0.149*M152+0.329))</f>
        <v>1.257334450963956</v>
      </c>
      <c r="AZ152" s="5">
        <f>IF(AW152*AY152&gt;AL152,(AW152*AY152-AL152)/4,0)</f>
        <v>4.322736797988264</v>
      </c>
      <c r="BA152" s="12">
        <f>0.401+0.1831*(2*AR152^2/(AH152+AP152+AZ152))-0.02016*(2*AR152^2/(AH152+AP152+AZ152))^2+0.0007472*(2*AR152^2/(AH152+AP152+AZ152))^3</f>
        <v>0.9156658812130258</v>
      </c>
      <c r="BB152" s="3"/>
      <c r="BC152" s="3"/>
      <c r="BD152" s="3"/>
      <c r="BE152" s="3"/>
      <c r="BF152" s="33">
        <v>57.65</v>
      </c>
      <c r="BG152" s="5">
        <f>IF(BF152=0,(BC152+BD152)*(BB152/12+BE152/3),BF152)</f>
        <v>57.65</v>
      </c>
      <c r="BH152" s="5">
        <f>IF(BG152*AY152&gt;AL152+AZ152,BG152*AY152-AL152-AZ152,0)</f>
        <v>54.86259430008382</v>
      </c>
      <c r="BI152" s="5">
        <f>IF(M152/1.6&lt;8,ROUND(M152/1.6,0),8)</f>
        <v>5</v>
      </c>
      <c r="BJ152" s="5">
        <f>(AH152+AP152+AZ152)*BA152+0.1*BH152</f>
        <v>46.55784526036415</v>
      </c>
      <c r="BK152" s="11">
        <v>1.6</v>
      </c>
      <c r="BL152" s="5">
        <f>M152*0.2</f>
        <v>1.48</v>
      </c>
      <c r="BM152" s="5">
        <f>ROUNDDOWN(M152/2.13,0)</f>
        <v>3</v>
      </c>
      <c r="BN152" s="12">
        <f>M152/4.26</f>
        <v>1.737089201877934</v>
      </c>
      <c r="BO152" s="5">
        <f>IF(M152&lt;8,1.22,IF(M152&lt;15.2,0.108333*M152+0.353,2))</f>
        <v>1.22</v>
      </c>
      <c r="BP152" s="12">
        <f>IF(BK152&lt;BO152,1+0.3*(BO152-BK152)/M152,1)</f>
        <v>1</v>
      </c>
      <c r="BQ152" s="39">
        <v>6</v>
      </c>
      <c r="BR152" s="32"/>
      <c r="BS152" t="s" s="24">
        <v>154</v>
      </c>
      <c r="BT152" s="36"/>
      <c r="BU152" s="36"/>
      <c r="BV152" s="5">
        <f>IF(BQ152&lt;(M152/0.3048)^0.5,1,IF(BU152="x",1-BR152*0.02,IF(BT152="x",1-BR152*0.01,1)))</f>
        <v>1</v>
      </c>
      <c r="BW152" s="12">
        <f>IF(K152="x",MIN(1.315,1.28+U152*N152/BJ152/AR152/1100),IF(L152="x",1.28,MAX(1.245,1.28-U152*N152/BJ152/AR152/1100)))</f>
        <v>1.294713454502395</v>
      </c>
      <c r="BX152" s="41">
        <f>BW152*T152*BV152*BP152*N152^0.3*BJ152^0.4/V152^0.325</f>
        <v>1.108802724117599</v>
      </c>
      <c r="BY152" s="29"/>
      <c r="BZ152" s="29"/>
      <c r="CA152" s="3"/>
      <c r="CB152" s="3"/>
      <c r="CC152" s="3"/>
      <c r="CD152" s="3"/>
      <c r="CE152" s="3"/>
      <c r="CF152" s="3"/>
      <c r="CG152" t="s" s="30">
        <f>A152</f>
        <v>1052</v>
      </c>
    </row>
    <row r="153" ht="12.75" customHeight="1">
      <c r="A153" t="s" s="25">
        <v>1053</v>
      </c>
      <c r="B153" t="s" s="19">
        <v>1054</v>
      </c>
      <c r="C153" t="s" s="19">
        <v>784</v>
      </c>
      <c r="D153" t="s" s="19">
        <v>219</v>
      </c>
      <c r="E153" t="s" s="19">
        <v>678</v>
      </c>
      <c r="F153" s="3"/>
      <c r="G153" s="3"/>
      <c r="H153" s="32"/>
      <c r="I153" s="32"/>
      <c r="J153" t="s" s="24">
        <v>154</v>
      </c>
      <c r="K153" s="36"/>
      <c r="L153" s="36"/>
      <c r="M153" s="11">
        <v>11.9</v>
      </c>
      <c r="N153" s="5">
        <v>11.75</v>
      </c>
      <c r="O153" s="11"/>
      <c r="P153" s="11"/>
      <c r="Q153" s="37"/>
      <c r="R153" t="s" s="24">
        <v>161</v>
      </c>
      <c r="S153" s="36"/>
      <c r="T153" s="38">
        <f>IF(S153&gt;0,1.048,IF(R153&gt;0,1.048,IF(Q153&gt;0,1.036,0.907+1.55*(P153/N153)-4.449*(P153/N153)^2)))</f>
        <v>1.048</v>
      </c>
      <c r="U153" s="39">
        <v>3800</v>
      </c>
      <c r="V153" s="40">
        <f>IF(H153="x",75+U153,IF(M153&lt;6.66,150+U153,-1.7384*M153^2+92.38*M153-388+U153))</f>
        <v>4265.147175999999</v>
      </c>
      <c r="W153" s="5"/>
      <c r="X153" s="5"/>
      <c r="Y153" s="5"/>
      <c r="Z153" s="5"/>
      <c r="AA153" s="5"/>
      <c r="AB153" s="5"/>
      <c r="AC153" s="5"/>
      <c r="AD153" s="33">
        <v>38</v>
      </c>
      <c r="AE153" s="5">
        <f>IF(AD153=0,(W153+4*X153+2*Y153+4*Z153+AA153)*AC153/12+W153*AB153/1.5,AD153)</f>
        <v>38</v>
      </c>
      <c r="AF153" s="11">
        <v>16.7</v>
      </c>
      <c r="AG153" s="11"/>
      <c r="AH153" s="5">
        <f>IF(AC153=0,AE153+AF153*AG153/2,AE153+AC153*AG153/2)</f>
        <v>38</v>
      </c>
      <c r="AI153" s="3"/>
      <c r="AJ153" s="3"/>
      <c r="AK153" s="33">
        <v>30</v>
      </c>
      <c r="AL153" s="5">
        <f>IF(AK153=0,AI153*AJ153/2,AK153)</f>
        <v>30</v>
      </c>
      <c r="AM153" s="3"/>
      <c r="AN153" s="5"/>
      <c r="AO153" s="5"/>
      <c r="AP153" s="5">
        <f>AL153+AI153*(AN153-AO153)/2</f>
        <v>30</v>
      </c>
      <c r="AQ153" s="5">
        <f>0.1*(AE153+AL153)</f>
        <v>6.800000000000001</v>
      </c>
      <c r="AR153" s="11">
        <v>16.7</v>
      </c>
      <c r="AS153" s="11"/>
      <c r="AT153" s="11"/>
      <c r="AU153" s="11"/>
      <c r="AV153" s="33">
        <v>0</v>
      </c>
      <c r="AW153" s="5">
        <f>IF(AV153=0,AS153/6*(AT153+AU153*4),AV153)</f>
        <v>0</v>
      </c>
      <c r="AX153" s="11">
        <v>0</v>
      </c>
      <c r="AY153" s="5">
        <f>IF(AX153&lt;0.149*M153+0.329,1,AX153/(0.149*M153+0.329))</f>
        <v>1</v>
      </c>
      <c r="AZ153" s="5">
        <f>IF(AW153*AY153&gt;AL153,(AW153*AY153-AL153)/4,0)</f>
        <v>0</v>
      </c>
      <c r="BA153" s="12">
        <f>0.401+0.1831*(2*AR153^2/(AH153+AP153+AZ153))-0.02016*(2*AR153^2/(AH153+AP153+AZ153))^2+0.0007472*(2*AR153^2/(AH153+AP153+AZ153))^3</f>
        <v>0.9588522308717412</v>
      </c>
      <c r="BB153" s="3"/>
      <c r="BC153" s="3"/>
      <c r="BD153" s="3"/>
      <c r="BE153" s="3"/>
      <c r="BF153" s="33">
        <v>82</v>
      </c>
      <c r="BG153" s="5">
        <f>IF(BF153=0,(BC153+BD153)*(BB153/12+BE153/3),BF153)</f>
        <v>82</v>
      </c>
      <c r="BH153" s="5">
        <f>IF(BG153*AY153&gt;AL153+AZ153,BG153*AY153-AL153-AZ153,0)</f>
        <v>52</v>
      </c>
      <c r="BI153" s="5">
        <f>IF(M153/1.6&lt;8,ROUND(M153/1.6,0),8)</f>
        <v>7</v>
      </c>
      <c r="BJ153" s="5">
        <f>(AH153+AP153+AZ153)*BA153+0.1*BH153</f>
        <v>70.4019516992784</v>
      </c>
      <c r="BK153" s="11">
        <v>1.9</v>
      </c>
      <c r="BL153" s="5">
        <f>M153*0.2</f>
        <v>2.38</v>
      </c>
      <c r="BM153" s="5">
        <f>ROUNDDOWN(M153/2.13,0)</f>
        <v>5</v>
      </c>
      <c r="BN153" s="12">
        <f>M153/4.26</f>
        <v>2.793427230046948</v>
      </c>
      <c r="BO153" s="5">
        <f>IF(M153&lt;8,1.22,IF(M153&lt;15.2,0.108333*M153+0.353,2))</f>
        <v>1.6421627</v>
      </c>
      <c r="BP153" s="12">
        <f>IF(BK153&lt;BO153,1+0.3*(BO153-BK153)/M153,1)</f>
        <v>1</v>
      </c>
      <c r="BQ153" s="39">
        <v>8</v>
      </c>
      <c r="BR153" s="39">
        <v>2</v>
      </c>
      <c r="BS153" s="36"/>
      <c r="BT153" t="s" s="24">
        <v>154</v>
      </c>
      <c r="BU153" s="36"/>
      <c r="BV153" s="5">
        <f>IF(BQ153&lt;(M153/0.3048)^0.5,1,IF(BU153="x",1-BR153*0.02,IF(BT153="x",1-BR153*0.01,1)))</f>
        <v>0.98</v>
      </c>
      <c r="BW153" s="12">
        <f>IF(K153="x",MIN(1.315,1.28+U153*N153/BJ153/AR153/1100),IF(L153="x",1.28,MAX(1.245,1.28-U153*N153/BJ153/AR153/1100)))</f>
        <v>1.245475483277519</v>
      </c>
      <c r="BX153" s="41">
        <f>BW153*T153*BV153*BP153*N153^0.3*BJ153^0.4/V153^0.325</f>
        <v>0.9710447036468861</v>
      </c>
      <c r="BY153" s="29"/>
      <c r="BZ153" s="29"/>
      <c r="CA153" t="s" s="19">
        <v>1055</v>
      </c>
      <c r="CB153" t="s" s="19">
        <v>856</v>
      </c>
      <c r="CC153" t="s" s="19">
        <v>653</v>
      </c>
      <c r="CD153" t="s" s="19">
        <v>1056</v>
      </c>
      <c r="CE153" s="3"/>
      <c r="CF153" s="3"/>
      <c r="CG153" t="s" s="30">
        <f>A153</f>
        <v>1057</v>
      </c>
    </row>
    <row r="154" ht="12.75" customHeight="1">
      <c r="A154" t="s" s="25">
        <v>1058</v>
      </c>
      <c r="B154" t="s" s="19">
        <v>1059</v>
      </c>
      <c r="C154" t="s" s="19">
        <v>265</v>
      </c>
      <c r="D154" t="s" s="19">
        <v>266</v>
      </c>
      <c r="E154" t="s" s="19">
        <v>1060</v>
      </c>
      <c r="F154" t="s" s="19">
        <v>1061</v>
      </c>
      <c r="G154" t="s" s="19">
        <v>1062</v>
      </c>
      <c r="H154" s="32"/>
      <c r="I154" s="32"/>
      <c r="J154" t="s" s="24">
        <v>154</v>
      </c>
      <c r="K154" s="36"/>
      <c r="L154" s="36"/>
      <c r="M154" s="11">
        <v>11.98</v>
      </c>
      <c r="N154" s="5">
        <v>11.98</v>
      </c>
      <c r="O154" s="11">
        <v>6.5</v>
      </c>
      <c r="P154" s="11">
        <v>1.2</v>
      </c>
      <c r="Q154" s="37"/>
      <c r="R154" s="36"/>
      <c r="S154" s="36"/>
      <c r="T154" s="38">
        <f>IF(S154&gt;0,1.048,IF(R154&gt;0,1.048,IF(Q154&gt;0,1.036,0.907+1.55*(P154/N154)-4.449*(P154/N154)^2)))</f>
        <v>1.017620093032071</v>
      </c>
      <c r="U154" s="39">
        <v>8790</v>
      </c>
      <c r="V154" s="40">
        <f>IF(H154="x",75+U154,IF(M154&lt;6.66,150+U154,-1.7384*M154^2+92.38*M154-388+U154))</f>
        <v>9259.21653664</v>
      </c>
      <c r="W154" s="5"/>
      <c r="X154" s="5"/>
      <c r="Y154" s="5"/>
      <c r="Z154" s="5"/>
      <c r="AA154" s="5"/>
      <c r="AB154" s="5"/>
      <c r="AC154" s="5">
        <v>13.13</v>
      </c>
      <c r="AD154" s="33">
        <v>56</v>
      </c>
      <c r="AE154" s="5">
        <f>IF(AD154=0,(W154+4*X154+2*Y154+4*Z154+AA154)*AC154/12+W154*AB154/1.5,AD154)</f>
        <v>56</v>
      </c>
      <c r="AF154" s="11">
        <v>15.2</v>
      </c>
      <c r="AG154" s="11"/>
      <c r="AH154" s="5">
        <f>IF(AC154=0,AE154+AF154*AG154/2,AE154+AC154*AG154/2)</f>
        <v>56</v>
      </c>
      <c r="AI154" s="5">
        <v>12</v>
      </c>
      <c r="AJ154" s="3"/>
      <c r="AK154" s="33">
        <v>30</v>
      </c>
      <c r="AL154" s="5">
        <f>IF(AK154=0,AI154*AJ154/2,AK154)</f>
        <v>30</v>
      </c>
      <c r="AM154" s="3"/>
      <c r="AN154" s="5"/>
      <c r="AO154" s="5">
        <v>0.22</v>
      </c>
      <c r="AP154" s="5">
        <f>AL154+AI154*(AN154-AO154)/2</f>
        <v>28.68</v>
      </c>
      <c r="AQ154" s="5">
        <f>0.1*(AE154+AL154)</f>
        <v>8.6</v>
      </c>
      <c r="AR154" s="11">
        <v>15.4</v>
      </c>
      <c r="AS154" s="11"/>
      <c r="AT154" s="11"/>
      <c r="AU154" s="11"/>
      <c r="AV154" s="33">
        <v>53</v>
      </c>
      <c r="AW154" s="5">
        <f>IF(AV154=0,AS154/6*(AT154+AU154*4),AV154)</f>
        <v>53</v>
      </c>
      <c r="AX154" s="11">
        <v>0</v>
      </c>
      <c r="AY154" s="5">
        <f>IF(AX154&lt;0.149*M154+0.329,1,AX154/(0.149*M154+0.329))</f>
        <v>1</v>
      </c>
      <c r="AZ154" s="5">
        <f>IF(AW154*AY154&gt;AL154,(AW154*AY154-AL154)/4,0)</f>
        <v>5.75</v>
      </c>
      <c r="BA154" s="12">
        <f>0.401+0.1831*(2*AR154^2/(AH154+AP154+AZ154))-0.02016*(2*AR154^2/(AH154+AP154+AZ154))^2+0.0007472*(2*AR154^2/(AH154+AP154+AZ154))^3</f>
        <v>0.9145763371888972</v>
      </c>
      <c r="BB154" s="3"/>
      <c r="BC154" s="3"/>
      <c r="BD154" s="3"/>
      <c r="BE154" s="3"/>
      <c r="BF154" s="33">
        <v>82</v>
      </c>
      <c r="BG154" s="5">
        <f>IF(BF154=0,(BC154+BD154)*(BB154/12+BE154/3),BF154)</f>
        <v>82</v>
      </c>
      <c r="BH154" s="5">
        <f>IF(BG154*AY154&gt;AL154+AZ154,BG154*AY154-AL154-AZ154,0)</f>
        <v>46.25</v>
      </c>
      <c r="BI154" s="5">
        <f>IF(M154/1.6&lt;8,ROUND(M154/1.6,0),8)</f>
        <v>7</v>
      </c>
      <c r="BJ154" s="5">
        <f>(AH154+AP154+AZ154)*BA154+0.1*BH154</f>
        <v>87.33013817199198</v>
      </c>
      <c r="BK154" s="11">
        <v>1.98</v>
      </c>
      <c r="BL154" s="5">
        <f>M154*0.2</f>
        <v>2.396</v>
      </c>
      <c r="BM154" s="5">
        <f>ROUNDDOWN(M154/2.13,0)</f>
        <v>5</v>
      </c>
      <c r="BN154" s="12">
        <f>M154/4.26</f>
        <v>2.812206572769953</v>
      </c>
      <c r="BO154" s="5">
        <f>IF(M154&lt;8,1.22,IF(M154&lt;15.2,0.108333*M154+0.353,2))</f>
        <v>1.65082934</v>
      </c>
      <c r="BP154" s="12">
        <f>IF(BK154&lt;BO154,1+0.3*(BO154-BK154)/M154,1)</f>
        <v>1</v>
      </c>
      <c r="BQ154" s="39">
        <v>7.5</v>
      </c>
      <c r="BR154" s="39">
        <v>2</v>
      </c>
      <c r="BS154" s="36"/>
      <c r="BT154" s="36"/>
      <c r="BU154" t="s" s="24">
        <v>154</v>
      </c>
      <c r="BV154" s="5">
        <f>IF(BQ154&lt;(M154/0.3048)^0.5,1,IF(BU154="x",1-BR154*0.02,IF(BT154="x",1-BR154*0.01,1)))</f>
        <v>0.96</v>
      </c>
      <c r="BW154" s="12">
        <f>IF(K154="x",MIN(1.315,1.28+U154*N154/BJ154/AR154/1100),IF(L154="x",1.28,MAX(1.245,1.28-U154*N154/BJ154/AR154/1100)))</f>
        <v>1.245</v>
      </c>
      <c r="BX154" s="41">
        <f>BW154*T154*BV154*BP154*N154^0.3*BJ154^0.4/V154^0.325</f>
        <v>0.786850697578112</v>
      </c>
      <c r="BY154" s="29"/>
      <c r="BZ154" s="29"/>
      <c r="CA154" t="s" s="19">
        <v>188</v>
      </c>
      <c r="CB154" s="70">
        <v>39904</v>
      </c>
      <c r="CC154" t="s" s="19">
        <v>1063</v>
      </c>
      <c r="CD154" s="3"/>
      <c r="CE154" s="3"/>
      <c r="CF154" s="3"/>
      <c r="CG154" t="s" s="30">
        <f>A154</f>
        <v>1064</v>
      </c>
    </row>
    <row r="155" ht="12.75" customHeight="1">
      <c r="A155" t="s" s="25">
        <v>1065</v>
      </c>
      <c r="B155" t="s" s="19">
        <v>264</v>
      </c>
      <c r="C155" t="s" s="19">
        <v>265</v>
      </c>
      <c r="D155" t="s" s="19">
        <v>266</v>
      </c>
      <c r="E155" t="s" s="19">
        <v>1060</v>
      </c>
      <c r="F155" t="s" s="19">
        <v>1066</v>
      </c>
      <c r="G155" s="3"/>
      <c r="H155" s="32"/>
      <c r="I155" s="32"/>
      <c r="J155" t="s" s="24">
        <v>154</v>
      </c>
      <c r="K155" s="36"/>
      <c r="L155" s="36"/>
      <c r="M155" s="11">
        <v>13.47</v>
      </c>
      <c r="N155" s="5">
        <v>13.47</v>
      </c>
      <c r="O155" s="11">
        <v>6.8</v>
      </c>
      <c r="P155" s="11">
        <v>1.25</v>
      </c>
      <c r="Q155" s="37"/>
      <c r="R155" s="36"/>
      <c r="S155" s="36"/>
      <c r="T155" s="38">
        <f>IF(S155&gt;0,1.048,IF(R155&gt;0,1.048,IF(Q155&gt;0,1.036,0.907+1.55*(P155/N155)-4.449*(P155/N155)^2)))</f>
        <v>1.012525063533084</v>
      </c>
      <c r="U155" s="39">
        <v>9884</v>
      </c>
      <c r="V155" s="40">
        <f>IF(H155="x",75+U155,IF(M155&lt;6.66,150+U155,-1.7384*M155^2+92.38*M155-388+U155))</f>
        <v>10424.94173944</v>
      </c>
      <c r="W155" s="5"/>
      <c r="X155" s="5"/>
      <c r="Y155" s="5"/>
      <c r="Z155" s="5"/>
      <c r="AA155" s="5"/>
      <c r="AB155" s="5"/>
      <c r="AC155" s="5">
        <v>14.2</v>
      </c>
      <c r="AD155" s="33">
        <v>65</v>
      </c>
      <c r="AE155" s="5">
        <f>IF(AD155=0,(W155+4*X155+2*Y155+4*Z155+AA155)*AC155/12+W155*AB155/1.5,AD155)</f>
        <v>65</v>
      </c>
      <c r="AF155" s="11">
        <v>16</v>
      </c>
      <c r="AG155" s="11"/>
      <c r="AH155" s="5">
        <f>IF(AC155=0,AE155+AF155*AG155/2,AE155+AC155*AG155/2)</f>
        <v>65</v>
      </c>
      <c r="AI155" s="5">
        <v>12.75</v>
      </c>
      <c r="AJ155" s="3"/>
      <c r="AK155" s="33">
        <v>30</v>
      </c>
      <c r="AL155" s="5">
        <f>IF(AK155=0,AI155*AJ155/2,AK155)</f>
        <v>30</v>
      </c>
      <c r="AM155" s="3"/>
      <c r="AN155" s="5"/>
      <c r="AO155" s="5">
        <v>0.15</v>
      </c>
      <c r="AP155" s="5">
        <f>AL155+AI155*(AN155-AO155)/2</f>
        <v>29.04375</v>
      </c>
      <c r="AQ155" s="5">
        <f>0.1*(AE155+AL155)</f>
        <v>9.5</v>
      </c>
      <c r="AR155" s="11">
        <v>13.3</v>
      </c>
      <c r="AS155" s="11"/>
      <c r="AT155" s="11"/>
      <c r="AU155" s="11"/>
      <c r="AV155" s="33">
        <v>61</v>
      </c>
      <c r="AW155" s="5">
        <f>IF(AV155=0,AS155/6*(AT155+AU155*4),AV155)</f>
        <v>61</v>
      </c>
      <c r="AX155" s="11">
        <v>0.8</v>
      </c>
      <c r="AY155" s="5">
        <f>IF(AX155&lt;0.149*M155+0.329,1,AX155/(0.149*M155+0.329))</f>
        <v>1</v>
      </c>
      <c r="AZ155" s="5">
        <f>IF(AW155*AY155&gt;AL155,(AW155*AY155-AL155)/4,0)</f>
        <v>7.75</v>
      </c>
      <c r="BA155" s="12">
        <f>0.401+0.1831*(2*AR155^2/(AH155+AP155+AZ155))-0.02016*(2*AR155^2/(AH155+AP155+AZ155))^2+0.0007472*(2*AR155^2/(AH155+AP155+AZ155))^3</f>
        <v>0.8252146521013878</v>
      </c>
      <c r="BB155" s="3"/>
      <c r="BC155" s="3"/>
      <c r="BD155" s="3"/>
      <c r="BE155" s="3"/>
      <c r="BF155" s="33">
        <v>97</v>
      </c>
      <c r="BG155" s="5">
        <f>IF(BF155=0,(BC155+BD155)*(BB155/12+BE155/3),BF155)</f>
        <v>97</v>
      </c>
      <c r="BH155" s="5">
        <f>IF(BG155*AY155&gt;AL155+AZ155,BG155*AY155-AL155-AZ155,0)</f>
        <v>59.25</v>
      </c>
      <c r="BI155" s="42">
        <f>IF(M155/1.6&lt;8,ROUND(M155/1.6,0),8)</f>
        <v>8</v>
      </c>
      <c r="BJ155" s="5">
        <f>(AH155+AP155+AZ155)*BA155+0.1*BH155</f>
        <v>89.92669399234565</v>
      </c>
      <c r="BK155" s="11">
        <v>1.9</v>
      </c>
      <c r="BL155" s="5">
        <f>M155*0.2</f>
        <v>2.694</v>
      </c>
      <c r="BM155" s="5">
        <f>ROUNDDOWN(M155/2.13,0)</f>
        <v>6</v>
      </c>
      <c r="BN155" s="12">
        <f>M155/4.26</f>
        <v>3.161971830985916</v>
      </c>
      <c r="BO155" s="5">
        <f>IF(M155&lt;8,1.22,IF(M155&lt;15.2,0.108333*M155+0.353,2))</f>
        <v>1.81224551</v>
      </c>
      <c r="BP155" s="12">
        <f>IF(BK155&lt;BO155,1+0.3*(BO155-BK155)/M155,1)</f>
        <v>1</v>
      </c>
      <c r="BQ155" s="39">
        <v>7.5</v>
      </c>
      <c r="BR155" s="39">
        <v>2</v>
      </c>
      <c r="BS155" s="36"/>
      <c r="BT155" t="s" s="24">
        <v>154</v>
      </c>
      <c r="BU155" s="36"/>
      <c r="BV155" s="5">
        <f>IF(BQ155&lt;(M155/0.3048)^0.5,1,IF(BU155="x",1-BR155*0.02,IF(BT155="x",1-BR155*0.01,1)))</f>
        <v>0.98</v>
      </c>
      <c r="BW155" s="12">
        <f>IF(K155="x",MIN(1.315,1.28+U155*N155/BJ155/AR155/1100),IF(L155="x",1.28,MAX(1.245,1.28-U155*N155/BJ155/AR155/1100)))</f>
        <v>1.245</v>
      </c>
      <c r="BX155" s="41">
        <f>BW155*T155*BV155*BP155*N155^0.3*BJ155^0.4/V155^0.325</f>
        <v>0.8059219926559116</v>
      </c>
      <c r="BY155" s="29"/>
      <c r="BZ155" s="29"/>
      <c r="CA155" t="s" s="19">
        <v>188</v>
      </c>
      <c r="CB155" s="3"/>
      <c r="CC155" s="3"/>
      <c r="CD155" s="3"/>
      <c r="CE155" s="3"/>
      <c r="CF155" s="3"/>
      <c r="CG155" t="s" s="30">
        <f>A155</f>
        <v>1067</v>
      </c>
    </row>
    <row r="156" ht="12.75" customHeight="1">
      <c r="A156" t="s" s="25">
        <v>1068</v>
      </c>
      <c r="B156" t="s" s="19">
        <v>1069</v>
      </c>
      <c r="C156" t="s" s="19">
        <v>304</v>
      </c>
      <c r="D156" t="s" s="19">
        <v>305</v>
      </c>
      <c r="E156" t="s" s="19">
        <v>1070</v>
      </c>
      <c r="F156" s="3"/>
      <c r="G156" s="3"/>
      <c r="H156" s="32"/>
      <c r="I156" s="32"/>
      <c r="J156" t="s" s="24">
        <v>154</v>
      </c>
      <c r="K156" s="36"/>
      <c r="L156" s="36"/>
      <c r="M156" s="11">
        <v>13.9</v>
      </c>
      <c r="N156" s="5">
        <v>13.77</v>
      </c>
      <c r="O156" s="11">
        <v>6.9</v>
      </c>
      <c r="P156" s="11">
        <v>1.2</v>
      </c>
      <c r="Q156" s="37"/>
      <c r="R156" s="36"/>
      <c r="S156" s="36"/>
      <c r="T156" s="38">
        <f>IF(S156&gt;0,1.048,IF(R156&gt;0,1.048,IF(Q156&gt;0,1.036,0.907+1.55*(P156/N156)-4.449*(P156/N156)^2)))</f>
        <v>1.008288678143734</v>
      </c>
      <c r="U156" s="39">
        <v>9500</v>
      </c>
      <c r="V156" s="40">
        <f>IF(H156="x",75+U156,IF(M156&lt;6.66,150+U156,-1.7384*M156^2+92.38*M156-388+U156))</f>
        <v>10060.205736</v>
      </c>
      <c r="W156" s="5"/>
      <c r="X156" s="5"/>
      <c r="Y156" s="5"/>
      <c r="Z156" s="5"/>
      <c r="AA156" s="5"/>
      <c r="AB156" s="5"/>
      <c r="AC156" s="5">
        <v>14.6</v>
      </c>
      <c r="AD156" s="33">
        <v>50</v>
      </c>
      <c r="AE156" s="5">
        <f>IF(AD156=0,(W156+4*X156+2*Y156+4*Z156+AA156)*AC156/12+W156*AB156/1.5,AD156)</f>
        <v>50</v>
      </c>
      <c r="AF156" s="11">
        <v>16.35</v>
      </c>
      <c r="AG156" s="11"/>
      <c r="AH156" s="5">
        <f>IF(AC156=0,AE156+AF156*AG156/2,AE156+AC156*AG156/2)</f>
        <v>50</v>
      </c>
      <c r="AI156" s="5">
        <v>13.9</v>
      </c>
      <c r="AJ156" s="3"/>
      <c r="AK156" s="33">
        <v>45</v>
      </c>
      <c r="AL156" s="5">
        <f>IF(AK156=0,AI156*AJ156/2,AK156)</f>
        <v>45</v>
      </c>
      <c r="AM156" s="3"/>
      <c r="AN156" s="5"/>
      <c r="AO156" s="5"/>
      <c r="AP156" s="5">
        <f>AL156+AI156*(AN156-AO156)/2</f>
        <v>45</v>
      </c>
      <c r="AQ156" s="5">
        <f>0.1*(AE156+AL156)</f>
        <v>9.5</v>
      </c>
      <c r="AR156" s="11">
        <v>17.3</v>
      </c>
      <c r="AS156" s="11"/>
      <c r="AT156" s="11"/>
      <c r="AU156" s="11"/>
      <c r="AV156" s="33"/>
      <c r="AW156" s="5">
        <f>IF(AV156=0,AS156/6*(AT156+AU156*4),AV156)</f>
        <v>0</v>
      </c>
      <c r="AX156" s="11">
        <v>0</v>
      </c>
      <c r="AY156" s="5">
        <f>IF(AX156&lt;0.149*M156+0.329,1,AX156/(0.149*M156+0.329))</f>
        <v>1</v>
      </c>
      <c r="AZ156" s="5">
        <f>IF(AW156*AY156&gt;AL156,(AW156*AY156-AL156)/4,0)</f>
        <v>0</v>
      </c>
      <c r="BA156" s="12">
        <f>0.401+0.1831*(2*AR156^2/(AH156+AP156+AZ156))-0.02016*(2*AR156^2/(AH156+AP156+AZ156))^2+0.0007472*(2*AR156^2/(AH156+AP156+AZ156))^3</f>
        <v>0.9412299167326028</v>
      </c>
      <c r="BB156" s="3"/>
      <c r="BC156" s="3"/>
      <c r="BD156" s="3"/>
      <c r="BE156" s="3"/>
      <c r="BF156" s="33">
        <v>110</v>
      </c>
      <c r="BG156" s="5">
        <f>IF(BF156=0,(BC156+BD156)*(BB156/12+BE156/3),BF156)</f>
        <v>110</v>
      </c>
      <c r="BH156" s="5">
        <f>IF(BG156*AY156&gt;AL156+AZ156,BG156*AY156-AL156-AZ156,0)</f>
        <v>65</v>
      </c>
      <c r="BI156" s="42">
        <f>IF(M156/1.6&lt;8,ROUND(M156/1.6,0),8)</f>
        <v>8</v>
      </c>
      <c r="BJ156" s="5">
        <f>(AH156+AP156+AZ156)*BA156+0.1*BH156</f>
        <v>95.91684208959727</v>
      </c>
      <c r="BK156" s="11">
        <v>2</v>
      </c>
      <c r="BL156" s="5">
        <f>M156*0.2</f>
        <v>2.78</v>
      </c>
      <c r="BM156" s="5">
        <f>ROUNDDOWN(M156/2.13,0)</f>
        <v>6</v>
      </c>
      <c r="BN156" s="12">
        <f>M156/4.26</f>
        <v>3.262910798122066</v>
      </c>
      <c r="BO156" s="5">
        <f>IF(M156&lt;8,1.22,IF(M156&lt;15.2,0.108333*M156+0.353,2))</f>
        <v>1.8588287</v>
      </c>
      <c r="BP156" s="12">
        <f>IF(BK156&lt;BO156,1+0.3*(BO156-BK156)/M156,1)</f>
        <v>1</v>
      </c>
      <c r="BQ156" s="39">
        <v>8.5</v>
      </c>
      <c r="BR156" s="39">
        <v>2</v>
      </c>
      <c r="BS156" s="36"/>
      <c r="BT156" s="36"/>
      <c r="BU156" t="s" s="24">
        <v>154</v>
      </c>
      <c r="BV156" s="5">
        <f>IF(BQ156&lt;(M156/0.3048)^0.5,1,IF(BU156="x",1-BR156*0.02,IF(BT156="x",1-BR156*0.01,1)))</f>
        <v>0.96</v>
      </c>
      <c r="BW156" s="12">
        <f>IF(K156="x",MIN(1.315,1.28+U156*N156/BJ156/AR156/1100),IF(L156="x",1.28,MAX(1.245,1.28-U156*N156/BJ156/AR156/1100)))</f>
        <v>1.245</v>
      </c>
      <c r="BX156" s="41">
        <f>BW156*T156*BV156*BP156*N156^0.3*BJ156^0.4/V156^0.325</f>
        <v>0.8215166609246293</v>
      </c>
      <c r="BY156" s="29"/>
      <c r="BZ156" s="29"/>
      <c r="CA156" t="s" s="19">
        <v>213</v>
      </c>
      <c r="CB156" t="s" s="19">
        <v>430</v>
      </c>
      <c r="CC156" t="s" s="19">
        <v>614</v>
      </c>
      <c r="CD156" s="3"/>
      <c r="CE156" s="3"/>
      <c r="CF156" s="3"/>
      <c r="CG156" t="s" s="30">
        <f>A156</f>
        <v>1071</v>
      </c>
    </row>
    <row r="157" ht="12.75" customHeight="1">
      <c r="A157" t="s" s="25">
        <v>1072</v>
      </c>
      <c r="B157" t="s" s="19">
        <v>574</v>
      </c>
      <c r="C157" t="s" s="19">
        <v>1073</v>
      </c>
      <c r="D157" t="s" s="19">
        <v>1073</v>
      </c>
      <c r="E157" t="s" s="19">
        <v>1073</v>
      </c>
      <c r="F157" s="3"/>
      <c r="G157" s="3"/>
      <c r="H157" s="32"/>
      <c r="I157" s="32"/>
      <c r="J157" t="s" s="24">
        <v>154</v>
      </c>
      <c r="K157" s="36"/>
      <c r="L157" s="36"/>
      <c r="M157" s="11">
        <v>11.7</v>
      </c>
      <c r="N157" s="5">
        <v>11.7</v>
      </c>
      <c r="O157" s="11">
        <v>6.3</v>
      </c>
      <c r="P157" s="11"/>
      <c r="Q157" s="37"/>
      <c r="R157" t="s" s="24">
        <v>161</v>
      </c>
      <c r="S157" s="36"/>
      <c r="T157" s="38">
        <f>IF(S157&gt;0,1.048,IF(R157&gt;0,1.048,IF(Q157&gt;0,1.036,0.907+1.55*(P157/N157)-4.449*(P157/N157)^2)))</f>
        <v>1.048</v>
      </c>
      <c r="U157" s="39">
        <v>2600</v>
      </c>
      <c r="V157" s="40">
        <f>IF(H157="x",75+U157,IF(M157&lt;6.66,150+U157,-1.7384*M157^2+92.38*M157-388+U157))</f>
        <v>3054.876424</v>
      </c>
      <c r="W157" s="5"/>
      <c r="X157" s="5"/>
      <c r="Y157" s="5"/>
      <c r="Z157" s="5"/>
      <c r="AA157" s="5"/>
      <c r="AB157" s="5"/>
      <c r="AC157" s="5"/>
      <c r="AD157" s="33">
        <v>36</v>
      </c>
      <c r="AE157" s="5">
        <f>IF(AD157=0,(W157+4*X157+2*Y157+4*Z157+AA157)*AC157/12+W157*AB157/1.5,AD157)</f>
        <v>36</v>
      </c>
      <c r="AF157" s="11">
        <v>12.7</v>
      </c>
      <c r="AG157" s="11"/>
      <c r="AH157" s="5">
        <f>IF(AC157=0,AE157+AF157*AG157/2,AE157+AC157*AG157/2)</f>
        <v>36</v>
      </c>
      <c r="AI157" s="3"/>
      <c r="AJ157" s="3"/>
      <c r="AK157" s="33">
        <v>18</v>
      </c>
      <c r="AL157" s="5">
        <f>IF(AK157=0,AI157*AJ157/2,AK157)</f>
        <v>18</v>
      </c>
      <c r="AM157" s="3"/>
      <c r="AN157" s="5"/>
      <c r="AO157" s="5"/>
      <c r="AP157" s="5">
        <f>AL157+AI157*(AN157-AO157)/2</f>
        <v>18</v>
      </c>
      <c r="AQ157" s="5">
        <f>0.1*(AE157+AL157)</f>
        <v>5.4</v>
      </c>
      <c r="AR157" s="11">
        <v>13.8</v>
      </c>
      <c r="AS157" s="11"/>
      <c r="AT157" s="11"/>
      <c r="AU157" s="11"/>
      <c r="AV157" s="33"/>
      <c r="AW157" s="5">
        <f>IF(AV157=0,AS157/6*(AT157+AU157*4),AV157)</f>
        <v>0</v>
      </c>
      <c r="AX157" s="11"/>
      <c r="AY157" s="5">
        <f>IF(AX157&lt;0.149*M157+0.329,1,AX157/(0.149*M157+0.329))</f>
        <v>1</v>
      </c>
      <c r="AZ157" s="5">
        <f>IF(AW157*AY157&gt;AL157,(AW157*AY157-AL157)/4,0)</f>
        <v>0</v>
      </c>
      <c r="BA157" s="12">
        <f>0.401+0.1831*(2*AR157^2/(AH157+AP157+AZ157))-0.02016*(2*AR157^2/(AH157+AP157+AZ157))^2+0.0007472*(2*AR157^2/(AH157+AP157+AZ157))^3</f>
        <v>0.9517075834330075</v>
      </c>
      <c r="BB157" s="3"/>
      <c r="BC157" s="3"/>
      <c r="BD157" s="3"/>
      <c r="BE157" s="3"/>
      <c r="BF157" s="33">
        <v>85</v>
      </c>
      <c r="BG157" s="5">
        <f>IF(BF157=0,(BC157+BD157)*(BB157/12+BE157/3),BF157)</f>
        <v>85</v>
      </c>
      <c r="BH157" s="5">
        <f>IF(BG157*AY157&gt;AL157+AZ157,BG157*AY157-AL157-AZ157,0)</f>
        <v>67</v>
      </c>
      <c r="BI157" s="5">
        <f>IF(M157/1.6&lt;8,ROUND(M157/1.6,0),8)</f>
        <v>7</v>
      </c>
      <c r="BJ157" s="5">
        <f>(AH157+AP157+AZ157)*BA157+0.1*BH157</f>
        <v>58.09220950538241</v>
      </c>
      <c r="BK157" s="11">
        <v>1.8</v>
      </c>
      <c r="BL157" s="5">
        <f>M157*0.2</f>
        <v>2.34</v>
      </c>
      <c r="BM157" s="5">
        <f>ROUNDDOWN(M157/2.13,0)</f>
        <v>5</v>
      </c>
      <c r="BN157" s="12">
        <f>M157/4.26</f>
        <v>2.746478873239437</v>
      </c>
      <c r="BO157" s="5">
        <f>IF(M157&lt;8,1.22,IF(M157&lt;15.2,0.108333*M157+0.353,2))</f>
        <v>1.6204961</v>
      </c>
      <c r="BP157" s="12">
        <f>IF(BK157&lt;BO157,1+0.3*(BO157-BK157)/M157,1)</f>
        <v>1</v>
      </c>
      <c r="BQ157" s="39">
        <v>5</v>
      </c>
      <c r="BR157" s="39">
        <v>0</v>
      </c>
      <c r="BS157" t="s" s="24">
        <v>154</v>
      </c>
      <c r="BT157" s="36"/>
      <c r="BU157" s="36"/>
      <c r="BV157" s="5">
        <f>IF(BQ157&lt;(M157/0.3048)^0.5,1,IF(BU157="x",1-BR157*0.02,IF(BT157="x",1-BR157*0.01,1)))</f>
        <v>1</v>
      </c>
      <c r="BW157" s="12">
        <f>IF(K157="x",MIN(1.315,1.28+U157*N157/BJ157/AR157/1100),IF(L157="x",1.28,MAX(1.245,1.28-U157*N157/BJ157/AR157/1100)))</f>
        <v>1.245503936134771</v>
      </c>
      <c r="BX157" s="41">
        <f>BW157*T157*BV157*BP157*N157^0.3*BJ157^0.4/V157^0.325</f>
        <v>1.02137769231363</v>
      </c>
      <c r="BY157" s="29"/>
      <c r="BZ157" s="29"/>
      <c r="CA157" t="s" s="19">
        <v>213</v>
      </c>
      <c r="CB157" t="s" s="19">
        <v>231</v>
      </c>
      <c r="CC157" t="s" s="19">
        <v>180</v>
      </c>
      <c r="CD157" t="s" s="19">
        <v>1074</v>
      </c>
      <c r="CE157" s="3"/>
      <c r="CF157" s="3"/>
      <c r="CG157" t="s" s="30">
        <f>A157</f>
        <v>1075</v>
      </c>
    </row>
    <row r="158" ht="12.75" customHeight="1">
      <c r="A158" t="s" s="25">
        <v>1076</v>
      </c>
      <c r="B158" t="s" s="19">
        <v>480</v>
      </c>
      <c r="C158" t="s" s="19">
        <v>193</v>
      </c>
      <c r="D158" t="s" s="19">
        <v>193</v>
      </c>
      <c r="E158" t="s" s="19">
        <v>1077</v>
      </c>
      <c r="F158" t="s" s="19">
        <v>1078</v>
      </c>
      <c r="G158" t="s" s="19">
        <v>1079</v>
      </c>
      <c r="H158" s="32"/>
      <c r="I158" s="32"/>
      <c r="J158" s="36"/>
      <c r="K158" t="s" s="24">
        <v>154</v>
      </c>
      <c r="L158" s="36"/>
      <c r="M158" s="11">
        <v>8</v>
      </c>
      <c r="N158" s="5">
        <v>7.8</v>
      </c>
      <c r="O158" s="11">
        <v>6</v>
      </c>
      <c r="P158" s="11"/>
      <c r="Q158" t="s" s="24">
        <v>161</v>
      </c>
      <c r="R158" s="36"/>
      <c r="S158" s="36"/>
      <c r="T158" s="38">
        <f>IF(S158&gt;0,1.048,IF(R158&gt;0,1.048,IF(Q158&gt;0,1.036,0.907+1.55*(P158/N158)-4.449*(P158/N158)^2)))</f>
        <v>1.036</v>
      </c>
      <c r="U158" s="39">
        <v>1142</v>
      </c>
      <c r="V158" s="40">
        <f>IF(H158="x",75+U158,IF(M158&lt;6.66,150+U158,-1.7384*M158^2+92.38*M158-388+U158))</f>
        <v>1381.7824</v>
      </c>
      <c r="W158" s="5">
        <v>2.97</v>
      </c>
      <c r="X158" s="5">
        <v>2.84</v>
      </c>
      <c r="Y158" s="5">
        <v>2.49</v>
      </c>
      <c r="Z158" s="5">
        <v>1.89</v>
      </c>
      <c r="AA158" s="5">
        <v>0.14</v>
      </c>
      <c r="AB158" s="5"/>
      <c r="AC158" s="5">
        <v>9.699999999999999</v>
      </c>
      <c r="AD158" s="33">
        <v>23</v>
      </c>
      <c r="AE158" s="5">
        <f>IF(AD158=0,(W158+4*X158+2*Y158+4*Z158+AA158)*AC158/12+W158*AB158/1.5,AD158)</f>
        <v>23</v>
      </c>
      <c r="AF158" s="11">
        <v>11.02</v>
      </c>
      <c r="AG158" s="11">
        <v>0.42</v>
      </c>
      <c r="AH158" s="5">
        <f>IF(AC158=0,AE158+AF158*AG158/2,AE158+AC158*AG158/2)</f>
        <v>25.037</v>
      </c>
      <c r="AI158" s="5">
        <v>8.76</v>
      </c>
      <c r="AJ158" s="5">
        <v>2.87</v>
      </c>
      <c r="AK158" s="33">
        <v>13</v>
      </c>
      <c r="AL158" s="5">
        <f>IF(AK158=0,AI158*AJ158/2,AK158)</f>
        <v>13</v>
      </c>
      <c r="AM158" s="3"/>
      <c r="AN158" s="5"/>
      <c r="AO158" s="5">
        <v>0.1</v>
      </c>
      <c r="AP158" s="5">
        <f>AL158+AI158*(AN158-AO158)/2</f>
        <v>12.562</v>
      </c>
      <c r="AQ158" s="5">
        <f>0.1*(AE158+AL158)</f>
        <v>3.6</v>
      </c>
      <c r="AR158" s="11">
        <v>11.02</v>
      </c>
      <c r="AS158" s="11"/>
      <c r="AT158" s="11"/>
      <c r="AU158" s="11"/>
      <c r="AV158" s="33">
        <v>26</v>
      </c>
      <c r="AW158" s="5">
        <f>IF(AV158=0,AS158/6*(AT158+AU158*4),AV158)</f>
        <v>26</v>
      </c>
      <c r="AX158" s="11">
        <v>1</v>
      </c>
      <c r="AY158" s="5">
        <f>IF(AX158&lt;0.149*M158+0.329,1,AX158/(0.149*M158+0.329))</f>
        <v>1</v>
      </c>
      <c r="AZ158" s="5">
        <f>IF(AW158*AY158&gt;AL158,(AW158*AY158-AL158)/4,0)</f>
        <v>3.25</v>
      </c>
      <c r="BA158" s="12">
        <f>0.401+0.1831*(2*AR158^2/(AH158+AP158+AZ158))-0.02016*(2*AR158^2/(AH158+AP158+AZ158))^2+0.0007472*(2*AR158^2/(AH158+AP158+AZ158))^3</f>
        <v>0.9340300539472388</v>
      </c>
      <c r="BB158" s="3"/>
      <c r="BC158" s="3"/>
      <c r="BD158" s="3"/>
      <c r="BE158" s="3"/>
      <c r="BF158" s="33">
        <v>35</v>
      </c>
      <c r="BG158" s="5">
        <f>IF(BF158=0,(BC158+BD158)*(BB158/12+BE158/3),BF158)</f>
        <v>35</v>
      </c>
      <c r="BH158" s="5">
        <f>IF(BG158*AY158&gt;AL158+AZ158,BG158*AY158-AL158-AZ158,0)</f>
        <v>18.75</v>
      </c>
      <c r="BI158" s="42">
        <v>5</v>
      </c>
      <c r="BJ158" s="5">
        <f>(AH158+AP158+AZ158)*BA158+0.1*BH158</f>
        <v>40.02919367369076</v>
      </c>
      <c r="BK158" s="11">
        <v>1.4</v>
      </c>
      <c r="BL158" s="5">
        <f>M158*0.2</f>
        <v>1.6</v>
      </c>
      <c r="BM158" s="5">
        <f>ROUNDDOWN(M158/2.13,0)</f>
        <v>3</v>
      </c>
      <c r="BN158" s="12">
        <f>M158/4.26</f>
        <v>1.877934272300469</v>
      </c>
      <c r="BO158" s="5">
        <f>IF(M158&lt;8,1.22,IF(M158&lt;15.2,0.108333*M158+0.353,2))</f>
        <v>1.219664</v>
      </c>
      <c r="BP158" s="12">
        <f>IF(BK158&lt;BO158,1+0.3*(BO158-BK158)/M158,1)</f>
        <v>1</v>
      </c>
      <c r="BQ158" s="32"/>
      <c r="BR158" s="32"/>
      <c r="BS158" t="s" s="24">
        <v>154</v>
      </c>
      <c r="BT158" s="36"/>
      <c r="BU158" s="36"/>
      <c r="BV158" s="5">
        <f>IF(BQ158&lt;(M158/0.3048)^0.5,1,IF(BU158="x",1-BR158*0.02,IF(BT158="x",1-BR158*0.01,1)))</f>
        <v>1</v>
      </c>
      <c r="BW158" s="12">
        <f>IF(K158="x",MIN(1.315,1.28+U158*N158/BJ158/AR158/1100),IF(L158="x",1.28,MAX(1.245,1.28-U158*N158/BJ158/AR158/1100)))</f>
        <v>1.29835733295279</v>
      </c>
      <c r="BX158" s="41">
        <f>BW158*T158*BV158*BP158*N158^0.3*BJ158^0.4/V158^0.325</f>
        <v>1.039178659973852</v>
      </c>
      <c r="BY158" s="29"/>
      <c r="BZ158" s="29"/>
      <c r="CA158" t="s" s="19">
        <v>188</v>
      </c>
      <c r="CB158" t="s" s="19">
        <v>321</v>
      </c>
      <c r="CC158" t="s" s="19">
        <v>254</v>
      </c>
      <c r="CD158" t="s" s="19">
        <v>1080</v>
      </c>
      <c r="CE158" s="3"/>
      <c r="CF158" s="3"/>
      <c r="CG158" t="s" s="30">
        <f>A158</f>
        <v>1081</v>
      </c>
    </row>
    <row r="159" ht="12.75" customHeight="1">
      <c r="A159" t="s" s="25">
        <v>1076</v>
      </c>
      <c r="B159" t="s" s="19">
        <v>721</v>
      </c>
      <c r="C159" t="s" s="19">
        <v>1082</v>
      </c>
      <c r="D159" t="s" s="19">
        <v>710</v>
      </c>
      <c r="E159" t="s" s="19">
        <v>595</v>
      </c>
      <c r="F159" t="s" s="19">
        <v>1083</v>
      </c>
      <c r="G159" t="s" s="19">
        <v>1084</v>
      </c>
      <c r="H159" s="32"/>
      <c r="I159" s="32"/>
      <c r="J159" s="36"/>
      <c r="K159" t="s" s="24">
        <v>154</v>
      </c>
      <c r="L159" s="36"/>
      <c r="M159" s="11">
        <v>8.369999999999999</v>
      </c>
      <c r="N159" s="5">
        <v>8.369999999999999</v>
      </c>
      <c r="O159" s="11">
        <v>6.4</v>
      </c>
      <c r="P159" s="11"/>
      <c r="Q159" s="37"/>
      <c r="R159" s="43">
        <v>1.8</v>
      </c>
      <c r="S159" s="36"/>
      <c r="T159" s="38">
        <f>IF(S159&gt;0,1.048,IF(R159&gt;0,1.048,IF(Q159&gt;0,1.036,0.907+1.55*(P159/N159)-4.449*(P159/N159)^2)))</f>
        <v>1.048</v>
      </c>
      <c r="U159" s="39">
        <v>1800</v>
      </c>
      <c r="V159" s="40">
        <f>IF(H159="x",75+U159,IF(M159&lt;6.66,150+U159,-1.7384*M159^2+92.38*M159-388+U159))</f>
        <v>2063.43368504</v>
      </c>
      <c r="W159" s="5"/>
      <c r="X159" s="5"/>
      <c r="Y159" s="5"/>
      <c r="Z159" s="5"/>
      <c r="AA159" s="5"/>
      <c r="AB159" s="5"/>
      <c r="AC159" s="5">
        <v>10.6</v>
      </c>
      <c r="AD159" s="33">
        <v>32.85</v>
      </c>
      <c r="AE159" s="5">
        <f>IF(AD159=0,(W159+4*X159+2*Y159+4*Z159+AA159)*AC159/12+W159*AB159/1.5,AD159)</f>
        <v>32.85</v>
      </c>
      <c r="AF159" s="11">
        <v>12.2</v>
      </c>
      <c r="AG159" s="11"/>
      <c r="AH159" s="5">
        <f>IF(AC159=0,AE159+AF159*AG159/2,AE159+AC159*AG159/2)</f>
        <v>32.85</v>
      </c>
      <c r="AI159" s="5">
        <v>10</v>
      </c>
      <c r="AJ159" s="3"/>
      <c r="AK159" s="33">
        <v>12.46</v>
      </c>
      <c r="AL159" s="5">
        <f>IF(AK159=0,AI159*AJ159/2,AK159)</f>
        <v>12.46</v>
      </c>
      <c r="AM159" t="s" s="19">
        <v>154</v>
      </c>
      <c r="AN159" s="5"/>
      <c r="AO159" s="5"/>
      <c r="AP159" s="5">
        <f>AL159+AI159*(AN159-AO159)/2</f>
        <v>12.46</v>
      </c>
      <c r="AQ159" s="5">
        <f>0.1*(AE159+AL159)</f>
        <v>4.531000000000001</v>
      </c>
      <c r="AR159" s="11">
        <v>12.2</v>
      </c>
      <c r="AS159" s="11"/>
      <c r="AT159" s="11"/>
      <c r="AU159" s="11"/>
      <c r="AV159" s="33">
        <v>35.45</v>
      </c>
      <c r="AW159" s="5">
        <f>IF(AV159=0,AS159/6*(AT159+AU159*4),AV159)</f>
        <v>35.45</v>
      </c>
      <c r="AX159" s="11">
        <v>0.5</v>
      </c>
      <c r="AY159" s="5">
        <f>IF(AX159&lt;0.149*M159+0.329,1,AX159/(0.149*M159+0.329))</f>
        <v>1</v>
      </c>
      <c r="AZ159" s="5">
        <f>IF(AW159*AY159&gt;AL159,(AW159*AY159-AL159)/4,0)</f>
        <v>5.7475</v>
      </c>
      <c r="BA159" s="12">
        <f>0.401+0.1831*(2*AR159^2/(AH159+AP159+AZ159))-0.02016*(2*AR159^2/(AH159+AP159+AZ159))^2+0.0007472*(2*AR159^2/(AH159+AP159+AZ159))^3</f>
        <v>0.9313254157608541</v>
      </c>
      <c r="BB159" s="3"/>
      <c r="BC159" s="3"/>
      <c r="BD159" s="3"/>
      <c r="BE159" s="3"/>
      <c r="BF159" s="33">
        <v>75</v>
      </c>
      <c r="BG159" s="5">
        <f>IF(BF159=0,(BC159+BD159)*(BB159/12+BE159/3),BF159)</f>
        <v>75</v>
      </c>
      <c r="BH159" s="5">
        <f>IF(BG159*AY159&gt;AL159+AZ159,BG159*AY159-AL159-AZ159,0)</f>
        <v>56.7925</v>
      </c>
      <c r="BI159" s="5">
        <f>IF(M159/1.6&lt;8,ROUND(M159/1.6,0),8)</f>
        <v>5</v>
      </c>
      <c r="BJ159" s="5">
        <f>(AH159+AP159+AZ159)*BA159+0.1*BH159</f>
        <v>53.23039741520981</v>
      </c>
      <c r="BK159" s="11">
        <v>1.89</v>
      </c>
      <c r="BL159" s="5">
        <f>M159*0.2</f>
        <v>1.674</v>
      </c>
      <c r="BM159" s="5">
        <f>ROUNDDOWN(M159/2.13,0)</f>
        <v>3</v>
      </c>
      <c r="BN159" s="12">
        <f>M159/4.26</f>
        <v>1.964788732394366</v>
      </c>
      <c r="BO159" s="5">
        <f>IF(M159&lt;8,1.22,IF(M159&lt;15.2,0.108333*M159+0.353,2))</f>
        <v>1.25974721</v>
      </c>
      <c r="BP159" s="12">
        <f>IF(BK159&lt;BO159,1+0.3*(BO159-BK159)/M159,1)</f>
        <v>1</v>
      </c>
      <c r="BQ159" s="39">
        <v>6</v>
      </c>
      <c r="BR159" s="39">
        <v>1</v>
      </c>
      <c r="BS159" t="s" s="24">
        <v>154</v>
      </c>
      <c r="BT159" s="36"/>
      <c r="BU159" s="36"/>
      <c r="BV159" s="5">
        <f>IF(BQ159&lt;(M159/0.3048)^0.5,1,IF(BU159="x",1-BR159*0.02,IF(BT159="x",1-BR159*0.01,1)))</f>
        <v>1</v>
      </c>
      <c r="BW159" s="12">
        <f>IF(K159="x",MIN(1.315,1.28+U159*N159/BJ159/AR159/1100),IF(L159="x",1.28,MAX(1.245,1.28-U159*N159/BJ159/AR159/1100)))</f>
        <v>1.301090444775793</v>
      </c>
      <c r="BX159" s="41">
        <f>BW159*T159*BV159*BP159*N159^0.3*BJ159^0.4/V159^0.325</f>
        <v>1.058542679800229</v>
      </c>
      <c r="BY159" s="29"/>
      <c r="BZ159" s="29"/>
      <c r="CA159" t="s" s="19">
        <v>188</v>
      </c>
      <c r="CB159" t="s" s="19">
        <v>598</v>
      </c>
      <c r="CC159" t="s" s="19">
        <v>1085</v>
      </c>
      <c r="CD159" s="3"/>
      <c r="CE159" s="3"/>
      <c r="CF159" s="3"/>
      <c r="CG159" t="s" s="30">
        <f>A159</f>
        <v>1081</v>
      </c>
    </row>
    <row r="160" ht="12.75" customHeight="1">
      <c r="A160" t="s" s="25">
        <v>1086</v>
      </c>
      <c r="B160" t="s" s="19">
        <v>480</v>
      </c>
      <c r="C160" t="s" s="19">
        <v>193</v>
      </c>
      <c r="D160" t="s" s="19">
        <v>193</v>
      </c>
      <c r="E160" t="s" s="19">
        <v>1087</v>
      </c>
      <c r="F160" s="3"/>
      <c r="G160" t="s" s="19">
        <v>1088</v>
      </c>
      <c r="H160" s="32"/>
      <c r="I160" s="32"/>
      <c r="J160" s="36"/>
      <c r="K160" t="s" s="24">
        <v>154</v>
      </c>
      <c r="L160" s="36"/>
      <c r="M160" s="11">
        <v>7.95</v>
      </c>
      <c r="N160" s="5">
        <v>7.95</v>
      </c>
      <c r="O160" s="11"/>
      <c r="P160" s="11"/>
      <c r="Q160" t="s" s="24">
        <v>161</v>
      </c>
      <c r="R160" s="36"/>
      <c r="S160" s="36"/>
      <c r="T160" s="38">
        <f>IF(S160&gt;0,1.048,IF(R160&gt;0,1.048,IF(Q160&gt;0,1.036,0.907+1.55*(P160/N160)-4.449*(P160/N160)^2)))</f>
        <v>1.036</v>
      </c>
      <c r="U160" s="39">
        <v>1197</v>
      </c>
      <c r="V160" s="40">
        <f>IF(H160="x",75+U160,IF(M160&lt;6.66,150+U160,-1.7384*M160^2+92.38*M160-388+U160))</f>
        <v>1433.549774</v>
      </c>
      <c r="W160" s="5">
        <v>2.88</v>
      </c>
      <c r="X160" s="5">
        <v>2.78</v>
      </c>
      <c r="Y160" s="5">
        <v>2.54</v>
      </c>
      <c r="Z160" s="5">
        <v>1.85</v>
      </c>
      <c r="AA160" s="5">
        <v>0.16</v>
      </c>
      <c r="AB160" s="5"/>
      <c r="AC160" s="5">
        <v>10.12</v>
      </c>
      <c r="AD160" s="33"/>
      <c r="AE160" s="5">
        <f>IF(AD160=0,(W160+4*X160+2*Y160+4*Z160+AA160)*AC160/12+W160*AB160/1.5,AD160)</f>
        <v>22.4664</v>
      </c>
      <c r="AF160" s="11">
        <v>10.9</v>
      </c>
      <c r="AG160" s="11">
        <v>0.42</v>
      </c>
      <c r="AH160" s="5">
        <f>IF(AC160=0,AE160+AF160*AG160/2,AE160+AC160*AG160/2)</f>
        <v>24.5916</v>
      </c>
      <c r="AI160" s="5">
        <v>8.789999999999999</v>
      </c>
      <c r="AJ160" s="5">
        <v>3.4</v>
      </c>
      <c r="AK160" s="33"/>
      <c r="AL160" s="5">
        <f>IF(AK160=0,AI160*AJ160/2,AK160)</f>
        <v>14.943</v>
      </c>
      <c r="AM160" s="3"/>
      <c r="AN160" s="5"/>
      <c r="AO160" s="5"/>
      <c r="AP160" s="5">
        <f>AL160+AI160*(AN160-AO160)/2</f>
        <v>14.943</v>
      </c>
      <c r="AQ160" s="5">
        <f>0.1*(AE160+AL160)</f>
        <v>3.740939999999999</v>
      </c>
      <c r="AR160" s="11">
        <v>10.9</v>
      </c>
      <c r="AS160" s="11"/>
      <c r="AT160" s="11"/>
      <c r="AU160" s="11"/>
      <c r="AV160" s="33"/>
      <c r="AW160" s="5">
        <f>IF(AV160=0,AS160/6*(AT160+AU160*4),AV160)</f>
        <v>0</v>
      </c>
      <c r="AX160" s="11"/>
      <c r="AY160" s="5">
        <f>IF(AX160&lt;0.149*M160+0.329,1,AX160/(0.149*M160+0.329))</f>
        <v>1</v>
      </c>
      <c r="AZ160" s="5">
        <f>IF(AW160*AY160&gt;AL160,(AW160*AY160-AL160)/4,0)</f>
        <v>0</v>
      </c>
      <c r="BA160" s="12">
        <f>0.401+0.1831*(2*AR160^2/(AH160+AP160+AZ160))-0.02016*(2*AR160^2/(AH160+AP160+AZ160))^2+0.0007472*(2*AR160^2/(AH160+AP160+AZ160))^3</f>
        <v>0.9354626839842476</v>
      </c>
      <c r="BB160" s="3"/>
      <c r="BC160" s="3"/>
      <c r="BD160" s="3"/>
      <c r="BE160" s="3"/>
      <c r="BF160" s="33"/>
      <c r="BG160" s="5">
        <f>IF(BF160=0,(BC160+BD160)*(BB160/12+BE160/3),BF160)</f>
        <v>0</v>
      </c>
      <c r="BH160" s="5">
        <f>IF(BG160*AY160&gt;AL160+AZ160,BG160*AY160-AL160-AZ160,0)</f>
        <v>0</v>
      </c>
      <c r="BI160" s="5">
        <f>IF(M160/1.6&lt;8,ROUND(M160/1.6,0),8)</f>
        <v>5</v>
      </c>
      <c r="BJ160" s="5">
        <f>(AH160+AP160+AZ160)*BA160+0.1*BH160</f>
        <v>36.98314302624363</v>
      </c>
      <c r="BK160" s="11">
        <v>1.4</v>
      </c>
      <c r="BL160" s="5">
        <f>M160*0.2</f>
        <v>1.59</v>
      </c>
      <c r="BM160" s="5">
        <f>ROUNDDOWN(M160/2.13,0)</f>
        <v>3</v>
      </c>
      <c r="BN160" s="12">
        <f>M160/4.26</f>
        <v>1.866197183098592</v>
      </c>
      <c r="BO160" s="5">
        <f>IF(M160&lt;8,1.22,IF(M160&lt;15.2,0.108333*M160+0.353,2))</f>
        <v>1.22</v>
      </c>
      <c r="BP160" s="12">
        <f>IF(BK160&lt;BO160,1+0.3*(BO160-BK160)/M160,1)</f>
        <v>1</v>
      </c>
      <c r="BQ160" s="32"/>
      <c r="BR160" s="32"/>
      <c r="BS160" t="s" s="24">
        <v>154</v>
      </c>
      <c r="BT160" s="36"/>
      <c r="BU160" s="36"/>
      <c r="BV160" s="5">
        <f>IF(BQ160&lt;(M160/0.3048)^0.5,1,IF(BU160="x",1-BR160*0.02,IF(BT160="x",1-BR160*0.01,1)))</f>
        <v>1</v>
      </c>
      <c r="BW160" s="12">
        <f>IF(K160="x",MIN(1.315,1.28+U160*N160/BJ160/AR160/1100),IF(L160="x",1.28,MAX(1.245,1.28-U160*N160/BJ160/AR160/1100)))</f>
        <v>1.30146042304596</v>
      </c>
      <c r="BX160" s="41">
        <f>BW160*T160*BV160*BP160*N160^0.3*BJ160^0.4/V160^0.325</f>
        <v>1.002924485482705</v>
      </c>
      <c r="BY160" s="29"/>
      <c r="BZ160" s="29"/>
      <c r="CA160" t="s" s="19">
        <v>162</v>
      </c>
      <c r="CB160" s="42">
        <v>1997</v>
      </c>
      <c r="CC160" t="s" s="19">
        <v>254</v>
      </c>
      <c r="CD160" t="s" s="19">
        <v>415</v>
      </c>
      <c r="CE160" s="3"/>
      <c r="CF160" s="3"/>
      <c r="CG160" t="s" s="30">
        <f>A160</f>
        <v>1089</v>
      </c>
    </row>
    <row r="161" ht="12.75" customHeight="1">
      <c r="A161" s="8"/>
      <c r="B161" t="s" s="19">
        <v>1090</v>
      </c>
      <c r="C161" t="s" s="19">
        <v>344</v>
      </c>
      <c r="D161" t="s" s="19">
        <v>345</v>
      </c>
      <c r="E161" t="s" s="19">
        <v>1091</v>
      </c>
      <c r="F161" s="3"/>
      <c r="G161" s="3"/>
      <c r="H161" s="32"/>
      <c r="I161" s="32"/>
      <c r="J161" s="36"/>
      <c r="K161" t="s" s="24">
        <v>154</v>
      </c>
      <c r="L161" s="36"/>
      <c r="M161" s="11">
        <v>7.3</v>
      </c>
      <c r="N161" s="5">
        <v>7.25</v>
      </c>
      <c r="O161" s="11">
        <v>5.5</v>
      </c>
      <c r="P161" s="11"/>
      <c r="Q161" s="37"/>
      <c r="R161" t="s" s="24">
        <v>1092</v>
      </c>
      <c r="S161" s="36"/>
      <c r="T161" s="38">
        <f>IF(S161&gt;0,1.048,IF(R161&gt;0,1.048,IF(Q161&gt;0,1.036,0.907+1.55*(P161/N161)-4.449*(P161/N161)^2)))</f>
        <v>1.048</v>
      </c>
      <c r="U161" s="39">
        <v>818</v>
      </c>
      <c r="V161" s="40">
        <f>IF(H161="x",75+U161,IF(M161&lt;6.66,150+U161,-1.7384*M161^2+92.38*M161-388+U161))</f>
        <v>1011.734664</v>
      </c>
      <c r="W161" s="5"/>
      <c r="X161" s="5"/>
      <c r="Y161" s="5"/>
      <c r="Z161" s="5"/>
      <c r="AA161" s="5"/>
      <c r="AB161" s="5"/>
      <c r="AC161" s="5"/>
      <c r="AD161" s="33">
        <v>22.5</v>
      </c>
      <c r="AE161" s="5">
        <f>IF(AD161=0,(W161+4*X161+2*Y161+4*Z161+AA161)*AC161/12+W161*AB161/1.5,AD161)</f>
        <v>22.5</v>
      </c>
      <c r="AF161" s="11"/>
      <c r="AG161" s="11"/>
      <c r="AH161" s="5">
        <f>IF(AC161=0,AE161+AF161*AG161/2,AE161+AC161*AG161/2)</f>
        <v>22.5</v>
      </c>
      <c r="AI161" s="3"/>
      <c r="AJ161" s="3"/>
      <c r="AK161" s="33">
        <f>37-AD161</f>
        <v>14.5</v>
      </c>
      <c r="AL161" s="5">
        <f>IF(AK161=0,AI161*AJ161/2,AK161)</f>
        <v>14.5</v>
      </c>
      <c r="AM161" s="3"/>
      <c r="AN161" s="5"/>
      <c r="AO161" s="5"/>
      <c r="AP161" s="5">
        <f>AL161+AI161*(AN161-AO161)/2</f>
        <v>14.5</v>
      </c>
      <c r="AQ161" s="5">
        <f>0.1*(AE161+AL161)</f>
        <v>3.7</v>
      </c>
      <c r="AR161" s="11">
        <v>10.1</v>
      </c>
      <c r="AS161" s="11"/>
      <c r="AT161" s="11"/>
      <c r="AU161" s="11"/>
      <c r="AV161" s="33"/>
      <c r="AW161" s="5">
        <f>IF(AV161=0,AS161/6*(AT161+AU161*4),AV161)</f>
        <v>0</v>
      </c>
      <c r="AX161" s="11">
        <v>1.24</v>
      </c>
      <c r="AY161" s="5">
        <f>IF(AX161&lt;0.149*M161+0.329,1,AX161/(0.149*M161+0.329))</f>
        <v>1</v>
      </c>
      <c r="AZ161" s="5">
        <f>IF(AW161*AY161&gt;AL161,(AW161*AY161-AL161)/4,0)</f>
        <v>0</v>
      </c>
      <c r="BA161" s="12">
        <f>0.401+0.1831*(2*AR161^2/(AH161+AP161+AZ161))-0.02016*(2*AR161^2/(AH161+AP161+AZ161))^2+0.0007472*(2*AR161^2/(AH161+AP161+AZ161))^3</f>
        <v>0.922933508472638</v>
      </c>
      <c r="BB161" s="3"/>
      <c r="BC161" s="3"/>
      <c r="BD161" s="3"/>
      <c r="BE161" s="3"/>
      <c r="BF161" s="33"/>
      <c r="BG161" s="5">
        <f>IF(BF161=0,(BC161+BD161)*(BB161/12+BE161/3),BF161)</f>
        <v>0</v>
      </c>
      <c r="BH161" s="5">
        <f>IF(BG161*AY161&gt;AL161+AZ161,BG161*AY161-AL161-AZ161,0)</f>
        <v>0</v>
      </c>
      <c r="BI161" s="5">
        <f>IF(M161/1.6&lt;8,ROUND(M161/1.6,0),8)</f>
        <v>5</v>
      </c>
      <c r="BJ161" s="5">
        <f>(AH161+AP161+AZ161)*BA161+0.1*BH161</f>
        <v>34.14853981348761</v>
      </c>
      <c r="BK161" s="11">
        <v>1.4</v>
      </c>
      <c r="BL161" s="5">
        <f>M161*0.2</f>
        <v>1.46</v>
      </c>
      <c r="BM161" s="5">
        <f>ROUNDDOWN(M161/2.13,0)</f>
        <v>3</v>
      </c>
      <c r="BN161" s="12">
        <f>M161/4.26</f>
        <v>1.713615023474178</v>
      </c>
      <c r="BO161" s="5">
        <f>IF(M161&lt;8,1.22,IF(M161&lt;15.2,0.108333*M161+0.353,2))</f>
        <v>1.22</v>
      </c>
      <c r="BP161" s="12">
        <f>IF(BK161&lt;BO161,1+0.3*(BO161-BK161)/M161,1)</f>
        <v>1</v>
      </c>
      <c r="BQ161" s="32"/>
      <c r="BR161" s="39">
        <v>0</v>
      </c>
      <c r="BS161" t="s" s="24">
        <v>154</v>
      </c>
      <c r="BT161" s="36"/>
      <c r="BU161" s="36"/>
      <c r="BV161" s="5">
        <f>IF(BQ161&lt;(M161/0.3048)^0.5,1,IF(BU161="x",1-BR161*0.02,IF(BT161="x",1-BR161*0.01,1)))</f>
        <v>1</v>
      </c>
      <c r="BW161" s="12">
        <f>IF(K161="x",MIN(1.315,1.28+U161*N161/BJ161/AR161/1100),IF(L161="x",1.28,MAX(1.245,1.28-U161*N161/BJ161/AR161/1100)))</f>
        <v>1.29563166046787</v>
      </c>
      <c r="BX161" s="41">
        <f>BW161*T161*BV161*BP161*N161^0.3*BJ161^0.4/V161^0.325</f>
        <v>1.065728149462623</v>
      </c>
      <c r="BY161" s="29"/>
      <c r="BZ161" s="29"/>
      <c r="CA161" t="s" s="19">
        <v>188</v>
      </c>
      <c r="CB161" s="42">
        <v>2008</v>
      </c>
      <c r="CC161" t="s" s="19">
        <v>164</v>
      </c>
      <c r="CD161" s="3"/>
      <c r="CE161" s="3"/>
      <c r="CF161" s="3"/>
      <c r="CG161" s="82">
        <f>A161</f>
        <v>0</v>
      </c>
    </row>
    <row r="162" ht="12.75" customHeight="1">
      <c r="A162" t="s" s="25">
        <v>1093</v>
      </c>
      <c r="B162" t="s" s="19">
        <v>696</v>
      </c>
      <c r="C162" t="s" s="19">
        <v>193</v>
      </c>
      <c r="D162" t="s" s="19">
        <v>193</v>
      </c>
      <c r="E162" t="s" s="19">
        <v>1094</v>
      </c>
      <c r="F162" t="s" s="19">
        <v>1095</v>
      </c>
      <c r="G162" t="s" s="19">
        <v>1096</v>
      </c>
      <c r="H162" s="32"/>
      <c r="I162" s="32"/>
      <c r="J162" s="36"/>
      <c r="K162" t="s" s="24">
        <v>154</v>
      </c>
      <c r="L162" s="36"/>
      <c r="M162" s="11">
        <v>10</v>
      </c>
      <c r="N162" s="5">
        <v>9.300000000000001</v>
      </c>
      <c r="O162" s="11">
        <v>7.6</v>
      </c>
      <c r="P162" s="11"/>
      <c r="Q162" t="s" s="24">
        <v>1097</v>
      </c>
      <c r="R162" s="36"/>
      <c r="S162" s="36"/>
      <c r="T162" s="38">
        <f>IF(S162&gt;0,1.048,IF(R162&gt;0,1.048,IF(Q162&gt;0,1.036,0.907+1.55*(P162/N162)-4.449*(P162/N162)^2)))</f>
        <v>1.036</v>
      </c>
      <c r="U162" s="39">
        <v>3000</v>
      </c>
      <c r="V162" s="40">
        <f>IF(H162="x",75+U162,IF(M162&lt;6.66,150+U162,-1.7384*M162^2+92.38*M162-388+U162))</f>
        <v>3361.96</v>
      </c>
      <c r="W162" s="5"/>
      <c r="X162" s="5"/>
      <c r="Y162" s="5"/>
      <c r="Z162" s="5"/>
      <c r="AA162" s="5"/>
      <c r="AB162" s="5"/>
      <c r="AC162" s="5">
        <v>13.3</v>
      </c>
      <c r="AD162" s="33">
        <v>39</v>
      </c>
      <c r="AE162" s="5">
        <f>IF(AD162=0,(W162+4*X162+2*Y162+4*Z162+AA162)*AC162/12+W162*AB162/1.5,AD162)</f>
        <v>39</v>
      </c>
      <c r="AF162" s="11">
        <v>14.1</v>
      </c>
      <c r="AG162" s="11"/>
      <c r="AH162" s="5">
        <f>IF(AC162=0,AE162+AF162*AG162/2,AE162+AC162*AG162/2)</f>
        <v>39</v>
      </c>
      <c r="AI162" s="5">
        <v>11.2</v>
      </c>
      <c r="AJ162" s="3"/>
      <c r="AK162" s="33">
        <v>21</v>
      </c>
      <c r="AL162" s="5">
        <f>IF(AK162=0,AI162*AJ162/2,AK162)</f>
        <v>21</v>
      </c>
      <c r="AM162" s="3"/>
      <c r="AN162" s="5"/>
      <c r="AO162" s="5">
        <v>0.11</v>
      </c>
      <c r="AP162" s="5">
        <f>AL162+AI162*(AN162-AO162)/2</f>
        <v>20.384</v>
      </c>
      <c r="AQ162" s="5">
        <f>0.1*(AE162+AL162)</f>
        <v>6</v>
      </c>
      <c r="AR162" s="11">
        <v>14.1</v>
      </c>
      <c r="AS162" s="11"/>
      <c r="AT162" s="11"/>
      <c r="AU162" s="11"/>
      <c r="AV162" s="33">
        <v>36</v>
      </c>
      <c r="AW162" s="5">
        <f>IF(AV162=0,AS162/6*(AT162+AU162*4),AV162)</f>
        <v>36</v>
      </c>
      <c r="AX162" s="11">
        <v>0.6</v>
      </c>
      <c r="AY162" s="5">
        <f>IF(AX162&lt;0.149*M162+0.329,1,AX162/(0.149*M162+0.329))</f>
        <v>1</v>
      </c>
      <c r="AZ162" s="5">
        <f>IF(AW162*AY162&gt;AL162,(AW162*AY162-AL162)/4,0)</f>
        <v>3.75</v>
      </c>
      <c r="BA162" s="12">
        <f>0.401+0.1831*(2*AR162^2/(AH162+AP162+AZ162))-0.02016*(2*AR162^2/(AH162+AP162+AZ162))^2+0.0007472*(2*AR162^2/(AH162+AP162+AZ162))^3</f>
        <v>0.9411791801617855</v>
      </c>
      <c r="BB162" s="3"/>
      <c r="BC162" s="3"/>
      <c r="BD162" s="3"/>
      <c r="BE162" s="3"/>
      <c r="BF162" s="33">
        <v>86</v>
      </c>
      <c r="BG162" s="5">
        <f>IF(BF162=0,(BC162+BD162)*(BB162/12+BE162/3),BF162)</f>
        <v>86</v>
      </c>
      <c r="BH162" s="5">
        <f>IF(BG162*AY162&gt;AL162+AZ162,BG162*AY162-AL162-AZ162,0)</f>
        <v>61.25</v>
      </c>
      <c r="BI162" s="5">
        <f>IF(M162/1.6&lt;8,ROUND(M162/1.6,0),8)</f>
        <v>6</v>
      </c>
      <c r="BJ162" s="5">
        <f>(AH162+AP162+AZ162)*BA162+0.1*BH162</f>
        <v>65.54540636033417</v>
      </c>
      <c r="BK162" s="11">
        <v>1.85</v>
      </c>
      <c r="BL162" s="5">
        <f>M162*0.2</f>
        <v>2</v>
      </c>
      <c r="BM162" s="5">
        <f>ROUNDDOWN(M162/2.13,0)</f>
        <v>4</v>
      </c>
      <c r="BN162" s="12">
        <f>M162/4.26</f>
        <v>2.347417840375587</v>
      </c>
      <c r="BO162" s="5">
        <f>IF(M162&lt;8,1.22,IF(M162&lt;15.2,0.108333*M162+0.353,2))</f>
        <v>1.43633</v>
      </c>
      <c r="BP162" s="12">
        <f>IF(BK162&lt;BO162,1+0.3*(BO162-BK162)/M162,1)</f>
        <v>1</v>
      </c>
      <c r="BQ162" s="39">
        <v>6</v>
      </c>
      <c r="BR162" s="39">
        <v>1</v>
      </c>
      <c r="BS162" s="36"/>
      <c r="BT162" t="s" s="24">
        <v>154</v>
      </c>
      <c r="BU162" s="36"/>
      <c r="BV162" s="5">
        <f>IF(BQ162&lt;(M162/0.3048)^0.5,1,IF(BU162="x",1-BR162*0.02,IF(BT162="x",1-BR162*0.01,1)))</f>
        <v>0.99</v>
      </c>
      <c r="BW162" s="12">
        <f>IF(K162="x",MIN(1.315,1.28+U162*N162/BJ162/AR162/1100),IF(L162="x",1.28,MAX(1.245,1.28-U162*N162/BJ162/AR162/1100)))</f>
        <v>1.307444172800224</v>
      </c>
      <c r="BX162" s="41">
        <f>BW162*T162*BV162*BP162*N162^0.3*BJ162^0.4/V162^0.325</f>
        <v>0.9964082536851046</v>
      </c>
      <c r="BY162" s="29"/>
      <c r="BZ162" s="29"/>
      <c r="CA162" t="s" s="19">
        <v>188</v>
      </c>
      <c r="CB162" s="70">
        <v>39203</v>
      </c>
      <c r="CC162" t="s" s="19">
        <v>614</v>
      </c>
      <c r="CD162" s="3"/>
      <c r="CE162" s="3"/>
      <c r="CF162" s="3"/>
      <c r="CG162" t="s" s="30">
        <f>A162</f>
        <v>1098</v>
      </c>
    </row>
    <row r="163" ht="12.75" customHeight="1">
      <c r="A163" t="s" s="25">
        <v>1099</v>
      </c>
      <c r="B163" t="s" s="19">
        <v>833</v>
      </c>
      <c r="C163" t="s" s="19">
        <v>158</v>
      </c>
      <c r="D163" t="s" s="19">
        <v>159</v>
      </c>
      <c r="E163" t="s" s="19">
        <v>1100</v>
      </c>
      <c r="F163" s="3"/>
      <c r="G163" s="3"/>
      <c r="H163" s="32"/>
      <c r="I163" s="32"/>
      <c r="J163" t="s" s="24">
        <v>154</v>
      </c>
      <c r="K163" s="36"/>
      <c r="L163" s="36"/>
      <c r="M163" s="11">
        <v>13.7</v>
      </c>
      <c r="N163" s="5">
        <v>13.71</v>
      </c>
      <c r="O163" s="11">
        <v>7</v>
      </c>
      <c r="P163" s="11"/>
      <c r="Q163" s="37"/>
      <c r="R163" t="s" s="24">
        <v>1101</v>
      </c>
      <c r="S163" s="36"/>
      <c r="T163" s="38">
        <f>IF(S163&gt;0,1.048,IF(R163&gt;0,1.048,IF(Q163&gt;0,1.036,0.907+1.55*(P163/N163)-4.449*(P163/N163)^2)))</f>
        <v>1.048</v>
      </c>
      <c r="U163" s="39">
        <v>10300</v>
      </c>
      <c r="V163" s="40">
        <f>IF(H163="x",75+U163,IF(M163&lt;6.66,150+U163,-1.7384*M163^2+92.38*M163-388+U163))</f>
        <v>10851.325704</v>
      </c>
      <c r="W163" s="5"/>
      <c r="X163" s="5"/>
      <c r="Y163" s="5"/>
      <c r="Z163" s="5"/>
      <c r="AA163" s="5"/>
      <c r="AB163" s="5"/>
      <c r="AC163" s="5"/>
      <c r="AD163" s="33">
        <v>73</v>
      </c>
      <c r="AE163" s="5">
        <f>IF(AD163=0,(W163+4*X163+2*Y163+4*Z163+AA163)*AC163/12+W163*AB163/1.5,AD163)</f>
        <v>73</v>
      </c>
      <c r="AF163" s="11">
        <v>18.5</v>
      </c>
      <c r="AG163" s="11"/>
      <c r="AH163" s="5">
        <f>IF(AC163=0,AE163+AF163*AG163/2,AE163+AC163*AG163/2)</f>
        <v>73</v>
      </c>
      <c r="AI163" s="3"/>
      <c r="AJ163" s="3"/>
      <c r="AK163" s="33">
        <v>33</v>
      </c>
      <c r="AL163" s="5">
        <f>IF(AK163=0,AI163*AJ163/2,AK163)</f>
        <v>33</v>
      </c>
      <c r="AM163" s="3"/>
      <c r="AN163" s="5"/>
      <c r="AO163" s="5"/>
      <c r="AP163" s="5">
        <f>AL163+AI163*(AN163-AO163)/2</f>
        <v>33</v>
      </c>
      <c r="AQ163" s="5">
        <f>0.1*(AE163+AL163)</f>
        <v>10.6</v>
      </c>
      <c r="AR163" s="11">
        <v>21.1</v>
      </c>
      <c r="AS163" s="11"/>
      <c r="AT163" s="11"/>
      <c r="AU163" s="11"/>
      <c r="AV163" s="33">
        <v>92</v>
      </c>
      <c r="AW163" s="5">
        <f>IF(AV163=0,AS163/6*(AT163+AU163*4),AV163)</f>
        <v>92</v>
      </c>
      <c r="AX163" s="11">
        <v>0.4</v>
      </c>
      <c r="AY163" s="5">
        <f>IF(AX163&lt;0.149*M163+0.329,1,AX163/(0.149*M163+0.329))</f>
        <v>1</v>
      </c>
      <c r="AZ163" s="5">
        <f>IF(AW163*AY163&gt;AL163,(AW163*AY163-AL163)/4,0)</f>
        <v>14.75</v>
      </c>
      <c r="BA163" s="12">
        <f>0.401+0.1831*(2*AR163^2/(AH163+AP163+AZ163))-0.02016*(2*AR163^2/(AH163+AP163+AZ163))^2+0.0007472*(2*AR163^2/(AH163+AP163+AZ163))^3</f>
        <v>0.9545654158290755</v>
      </c>
      <c r="BB163" s="3"/>
      <c r="BC163" s="3"/>
      <c r="BD163" s="3"/>
      <c r="BE163" s="3"/>
      <c r="BF163" s="33"/>
      <c r="BG163" s="5">
        <f>IF(BF163=0,(BC163+BD163)*(BB163/12+BE163/3),BF163)</f>
        <v>0</v>
      </c>
      <c r="BH163" s="5">
        <f>IF(BG163*AY163&gt;AL163+AZ163,BG163*AY163-AL163-AZ163,0)</f>
        <v>0</v>
      </c>
      <c r="BI163" s="42">
        <f>IF(M163/1.6&lt;8,ROUND(M163/1.6,0),8)</f>
        <v>8</v>
      </c>
      <c r="BJ163" s="5">
        <f>(AH163+AP163+AZ163)*BA163+0.1*BH163</f>
        <v>115.2637739613609</v>
      </c>
      <c r="BK163" s="11">
        <v>1.95</v>
      </c>
      <c r="BL163" s="5">
        <f>M163*0.2</f>
        <v>2.74</v>
      </c>
      <c r="BM163" s="5">
        <f>ROUNDDOWN(M163/2.13,0)</f>
        <v>6</v>
      </c>
      <c r="BN163" s="12">
        <f>M163/4.26</f>
        <v>3.215962441314554</v>
      </c>
      <c r="BO163" s="5">
        <f>IF(M163&lt;8,1.22,IF(M163&lt;15.2,0.108333*M163+0.353,2))</f>
        <v>1.8371621</v>
      </c>
      <c r="BP163" s="12">
        <f>IF(BK163&lt;BO163,1+0.3*(BO163-BK163)/M163,1)</f>
        <v>1</v>
      </c>
      <c r="BQ163" s="39">
        <v>8</v>
      </c>
      <c r="BR163" s="39">
        <v>2</v>
      </c>
      <c r="BS163" s="36"/>
      <c r="BT163" t="s" s="24">
        <v>154</v>
      </c>
      <c r="BU163" s="36"/>
      <c r="BV163" s="5">
        <f>IF(BQ163&lt;(M163/0.3048)^0.5,1,IF(BU163="x",1-BR163*0.02,IF(BT163="x",1-BR163*0.01,1)))</f>
        <v>0.98</v>
      </c>
      <c r="BW163" s="12">
        <f>IF(K163="x",MIN(1.315,1.28+U163*N163/BJ163/AR163/1100),IF(L163="x",1.28,MAX(1.245,1.28-U163*N163/BJ163/AR163/1100)))</f>
        <v>1.245</v>
      </c>
      <c r="BX163" s="41">
        <f>BW163*T163*BV163*BP163*N163^0.3*BJ163^0.4/V163^0.325</f>
        <v>0.9141409635907888</v>
      </c>
      <c r="BY163" s="29"/>
      <c r="BZ163" s="29"/>
      <c r="CA163" t="s" s="19">
        <v>188</v>
      </c>
      <c r="CB163" t="s" s="19">
        <v>245</v>
      </c>
      <c r="CC163" t="s" s="19">
        <v>180</v>
      </c>
      <c r="CD163" t="s" s="19">
        <v>660</v>
      </c>
      <c r="CE163" s="3"/>
      <c r="CF163" s="3"/>
      <c r="CG163" t="s" s="30">
        <f>A163</f>
        <v>1102</v>
      </c>
    </row>
    <row r="164" ht="12.75" customHeight="1">
      <c r="A164" t="s" s="25">
        <v>1103</v>
      </c>
      <c r="B164" t="s" s="19">
        <v>1104</v>
      </c>
      <c r="C164" t="s" s="19">
        <v>236</v>
      </c>
      <c r="D164" t="s" s="19">
        <v>169</v>
      </c>
      <c r="E164" t="s" s="19">
        <v>1105</v>
      </c>
      <c r="F164" s="3"/>
      <c r="G164" s="3"/>
      <c r="H164" s="32"/>
      <c r="I164" s="32"/>
      <c r="J164" t="s" s="24">
        <v>154</v>
      </c>
      <c r="K164" s="36"/>
      <c r="L164" s="36"/>
      <c r="M164" s="11">
        <v>11.92</v>
      </c>
      <c r="N164" s="5">
        <v>11.92</v>
      </c>
      <c r="O164" s="11">
        <v>6.82</v>
      </c>
      <c r="P164" s="11"/>
      <c r="Q164" s="37"/>
      <c r="R164" t="s" s="24">
        <v>1106</v>
      </c>
      <c r="S164" s="36"/>
      <c r="T164" s="38">
        <f>IF(S164&gt;0,1.048,IF(R164&gt;0,1.048,IF(Q164&gt;0,1.036,0.907+1.55*(P164/N164)-4.449*(P164/N164)^2)))</f>
        <v>1.048</v>
      </c>
      <c r="U164" s="39">
        <v>5800</v>
      </c>
      <c r="V164" s="40">
        <f>IF(H164="x",75+U164,IF(M164&lt;6.66,150+U164,-1.7384*M164^2+92.38*M164-388+U164))</f>
        <v>6266.16660224</v>
      </c>
      <c r="W164" s="5"/>
      <c r="X164" s="5"/>
      <c r="Y164" s="5"/>
      <c r="Z164" s="5"/>
      <c r="AA164" s="5"/>
      <c r="AB164" s="5"/>
      <c r="AC164" s="5">
        <v>13.85</v>
      </c>
      <c r="AD164" s="33">
        <v>47.84</v>
      </c>
      <c r="AE164" s="5">
        <f>IF(AD164=0,(W164+4*X164+2*Y164+4*Z164+AA164)*AC164/12+W164*AB164/1.5,AD164)</f>
        <v>47.84</v>
      </c>
      <c r="AF164" s="11">
        <v>15.35</v>
      </c>
      <c r="AG164" s="11"/>
      <c r="AH164" s="5">
        <f>IF(AC164=0,AE164+AF164*AG164/2,AE164+AC164*AG164/2)</f>
        <v>47.84</v>
      </c>
      <c r="AI164" s="5">
        <v>12.55</v>
      </c>
      <c r="AJ164" s="3"/>
      <c r="AK164" s="33">
        <v>32.94</v>
      </c>
      <c r="AL164" s="5">
        <f>IF(AK164=0,AI164*AJ164/2,AK164)</f>
        <v>32.94</v>
      </c>
      <c r="AM164" s="3"/>
      <c r="AN164" s="5"/>
      <c r="AO164" s="5">
        <v>0.13</v>
      </c>
      <c r="AP164" s="5">
        <f>AL164+AI164*(AN164-AO164)/2</f>
        <v>32.12425</v>
      </c>
      <c r="AQ164" s="5">
        <f>0.1*(AE164+AL164)</f>
        <v>8.078000000000001</v>
      </c>
      <c r="AR164" s="11">
        <v>15.35</v>
      </c>
      <c r="AS164" s="11"/>
      <c r="AT164" s="11"/>
      <c r="AU164" s="11"/>
      <c r="AV164" s="33"/>
      <c r="AW164" s="5">
        <f>IF(AV164=0,AS164/6*(AT164+AU164*4),AV164)</f>
        <v>0</v>
      </c>
      <c r="AX164" s="11">
        <v>0</v>
      </c>
      <c r="AY164" s="5">
        <f>IF(AX164&lt;0.149*M164+0.329,1,AX164/(0.149*M164+0.329))</f>
        <v>1</v>
      </c>
      <c r="AZ164" s="5">
        <f>IF(AW164*AY164&gt;AL164,(AW164*AY164-AL164)/4,0)</f>
        <v>0</v>
      </c>
      <c r="BA164" s="12">
        <f>0.401+0.1831*(2*AR164^2/(AH164+AP164+AZ164))-0.02016*(2*AR164^2/(AH164+AP164+AZ164))^2+0.0007472*(2*AR164^2/(AH164+AP164+AZ164))^3</f>
        <v>0.9328211288248106</v>
      </c>
      <c r="BB164" s="3"/>
      <c r="BC164" s="3"/>
      <c r="BD164" s="3"/>
      <c r="BE164" s="3"/>
      <c r="BF164" s="33">
        <v>95.19</v>
      </c>
      <c r="BG164" s="5">
        <f>IF(BF164=0,(BC164+BD164)*(BB164/12+BE164/3),BF164)</f>
        <v>95.19</v>
      </c>
      <c r="BH164" s="5">
        <f>IF(BG164*AY164&gt;AL164+AZ164,BG164*AY164-AL164-AZ164,0)</f>
        <v>62.25</v>
      </c>
      <c r="BI164" s="5">
        <f>IF(M164/1.6&lt;8,ROUND(M164/1.6,0),8)</f>
        <v>7</v>
      </c>
      <c r="BJ164" s="5">
        <f>(AH164+AP164+AZ164)*BA164+0.1*BH164</f>
        <v>80.81734195062936</v>
      </c>
      <c r="BK164" s="11">
        <v>1.85</v>
      </c>
      <c r="BL164" s="5">
        <f>M164*0.2</f>
        <v>2.384</v>
      </c>
      <c r="BM164" s="5">
        <f>ROUNDDOWN(M164/2.13,0)</f>
        <v>5</v>
      </c>
      <c r="BN164" s="12">
        <f>M164/4.26</f>
        <v>2.7981220657277</v>
      </c>
      <c r="BO164" s="5">
        <f>IF(M164&lt;8,1.22,IF(M164&lt;15.2,0.108333*M164+0.353,2))</f>
        <v>1.64432936</v>
      </c>
      <c r="BP164" s="12">
        <f>IF(BK164&lt;BO164,1+0.3*(BO164-BK164)/M164,1)</f>
        <v>1</v>
      </c>
      <c r="BQ164" s="39">
        <v>6.5</v>
      </c>
      <c r="BR164" s="39">
        <v>2</v>
      </c>
      <c r="BS164" s="36"/>
      <c r="BT164" s="36"/>
      <c r="BU164" t="s" s="24">
        <v>154</v>
      </c>
      <c r="BV164" s="5">
        <f>IF(BQ164&lt;(M164/0.3048)^0.5,1,IF(BU164="x",1-BR164*0.02,IF(BT164="x",1-BR164*0.01,1)))</f>
        <v>0.96</v>
      </c>
      <c r="BW164" s="12">
        <f>IF(K164="x",MIN(1.315,1.28+U164*N164/BJ164/AR164/1100),IF(L164="x",1.28,MAX(1.245,1.28-U164*N164/BJ164/AR164/1100)))</f>
        <v>1.245</v>
      </c>
      <c r="BX164" s="41">
        <f>BW164*T164*BV164*BP164*N164^0.3*BJ164^0.4/V164^0.325</f>
        <v>0.8905553952372008</v>
      </c>
      <c r="BY164" s="29"/>
      <c r="BZ164" s="29"/>
      <c r="CA164" t="s" s="19">
        <v>213</v>
      </c>
      <c r="CB164" t="s" s="19">
        <v>1107</v>
      </c>
      <c r="CC164" t="s" s="19">
        <v>180</v>
      </c>
      <c r="CD164" s="3"/>
      <c r="CE164" s="3"/>
      <c r="CF164" s="3"/>
      <c r="CG164" t="s" s="30">
        <f>A164</f>
        <v>1108</v>
      </c>
    </row>
    <row r="165" ht="12.75" customHeight="1">
      <c r="A165" t="s" s="25">
        <v>1109</v>
      </c>
      <c r="B165" t="s" s="19">
        <v>1110</v>
      </c>
      <c r="C165" t="s" s="19">
        <v>796</v>
      </c>
      <c r="D165" t="s" s="19">
        <v>796</v>
      </c>
      <c r="E165" t="s" s="19">
        <v>1111</v>
      </c>
      <c r="F165" s="3"/>
      <c r="G165" t="s" s="19">
        <v>1112</v>
      </c>
      <c r="H165" s="32"/>
      <c r="I165" s="32"/>
      <c r="J165" s="36"/>
      <c r="K165" t="s" s="24">
        <v>154</v>
      </c>
      <c r="L165" s="36"/>
      <c r="M165" s="11">
        <v>8</v>
      </c>
      <c r="N165" s="5">
        <v>7.83</v>
      </c>
      <c r="O165" s="11">
        <v>7.1</v>
      </c>
      <c r="P165" s="11"/>
      <c r="Q165" s="37"/>
      <c r="R165" t="s" s="24">
        <v>154</v>
      </c>
      <c r="S165" s="36"/>
      <c r="T165" s="38">
        <f>IF(S165&gt;0,1.048,IF(R165&gt;0,1.048,IF(Q165&gt;0,1.036,0.907+1.55*(P165/N165)-4.449*(P165/N165)^2)))</f>
        <v>1.048</v>
      </c>
      <c r="U165" s="39">
        <v>606</v>
      </c>
      <c r="V165" s="40">
        <f>IF(H165="x",75+U165,IF(M165&lt;6.66,150+U165,-1.7384*M165^2+92.38*M165-388+U165))</f>
        <v>845.7823999999999</v>
      </c>
      <c r="W165" s="5">
        <v>3.22</v>
      </c>
      <c r="X165" s="5">
        <v>3.15</v>
      </c>
      <c r="Y165" s="5">
        <v>2.765</v>
      </c>
      <c r="Z165" s="5">
        <v>1.79</v>
      </c>
      <c r="AA165" s="5">
        <v>0.38</v>
      </c>
      <c r="AB165" s="5">
        <v>0.015</v>
      </c>
      <c r="AC165" s="5">
        <v>10.65</v>
      </c>
      <c r="AD165" s="33"/>
      <c r="AE165" s="5">
        <f>IF(AD165=0,(W165+4*X165+2*Y165+4*Z165+AA165)*AC165/12+W165*AB165/1.5,AD165)</f>
        <v>25.672075</v>
      </c>
      <c r="AF165" s="11"/>
      <c r="AG165" s="11">
        <v>0</v>
      </c>
      <c r="AH165" s="5">
        <f>IF(AC165=0,AE165+AF165*AG165/2,AE165+AC165*AG165/2)</f>
        <v>25.672075</v>
      </c>
      <c r="AI165" s="5">
        <v>10</v>
      </c>
      <c r="AJ165" s="5">
        <v>2.1</v>
      </c>
      <c r="AK165" s="33"/>
      <c r="AL165" s="5">
        <f>IF(AK165=0,AI165*AJ165/2,AK165)</f>
        <v>10.5</v>
      </c>
      <c r="AM165" t="s" s="19">
        <v>154</v>
      </c>
      <c r="AN165" s="5"/>
      <c r="AO165" s="5"/>
      <c r="AP165" s="5">
        <f>AL165+AI165*(AN165-AO165)/2</f>
        <v>10.5</v>
      </c>
      <c r="AQ165" s="5">
        <f>0.1*(AE165+AL165)</f>
        <v>3.617207500000001</v>
      </c>
      <c r="AR165" s="11">
        <v>11.53</v>
      </c>
      <c r="AS165" s="11"/>
      <c r="AT165" s="11"/>
      <c r="AU165" s="11"/>
      <c r="AV165" s="33"/>
      <c r="AW165" s="5">
        <f>IF(AV165=0,AS165/6*(AT165+AU165*4),AV165)</f>
        <v>0</v>
      </c>
      <c r="AX165" s="11">
        <v>1.28</v>
      </c>
      <c r="AY165" s="5">
        <f>IF(AX165&lt;0.149*M165+0.329,1,AX165/(0.149*M165+0.329))</f>
        <v>1</v>
      </c>
      <c r="AZ165" s="5">
        <f>IF(AW165*AY165&gt;AL165,(AW165*AY165-AL165)/4,0)</f>
        <v>0</v>
      </c>
      <c r="BA165" s="12">
        <f>0.401+0.1831*(2*AR165^2/(AH165+AP165+AZ165))-0.02016*(2*AR165^2/(AH165+AP165+AZ165))^2+0.0007472*(2*AR165^2/(AH165+AP165+AZ165))^3</f>
        <v>0.9543823448374188</v>
      </c>
      <c r="BB165" s="5">
        <v>5.03</v>
      </c>
      <c r="BC165" s="5">
        <v>10.93</v>
      </c>
      <c r="BD165" s="5">
        <v>8.859999999999999</v>
      </c>
      <c r="BE165" s="5">
        <v>4.32</v>
      </c>
      <c r="BF165" s="33"/>
      <c r="BG165" s="5">
        <f>IF(BF165=0,(BC165+BD165)*(BB165/12+BE165/3),BF165)</f>
        <v>36.79290833333334</v>
      </c>
      <c r="BH165" s="5">
        <f>IF(BG165*AY165&gt;AL165+AZ165,BG165*AY165-AL165-AZ165,0)</f>
        <v>26.29290833333334</v>
      </c>
      <c r="BI165" s="5">
        <f>IF(M165/1.6&lt;8,ROUND(M165/1.6,0),8)</f>
        <v>5</v>
      </c>
      <c r="BJ165" s="5">
        <f>(AH165+AP165+AZ165)*BA165+0.1*BH165</f>
        <v>37.15128058946832</v>
      </c>
      <c r="BK165" s="11">
        <v>1.43</v>
      </c>
      <c r="BL165" s="5">
        <f>M165*0.2</f>
        <v>1.6</v>
      </c>
      <c r="BM165" s="5">
        <f>ROUNDDOWN(M165/2.13,0)</f>
        <v>3</v>
      </c>
      <c r="BN165" s="12">
        <f>M165/4.26</f>
        <v>1.877934272300469</v>
      </c>
      <c r="BO165" s="5">
        <f>IF(M165&lt;8,1.22,IF(M165&lt;15.2,0.108333*M165+0.353,2))</f>
        <v>1.219664</v>
      </c>
      <c r="BP165" s="12">
        <f>IF(BK165&lt;BO165,1+0.3*(BO165-BK165)/M165,1)</f>
        <v>1</v>
      </c>
      <c r="BQ165" s="32"/>
      <c r="BR165" s="32"/>
      <c r="BS165" t="s" s="24">
        <v>154</v>
      </c>
      <c r="BT165" s="36"/>
      <c r="BU165" s="36"/>
      <c r="BV165" s="5">
        <f>IF(BQ165&lt;(M165/0.3048)^0.5,1,IF(BU165="x",1-BR165*0.02,IF(BT165="x",1-BR165*0.01,1)))</f>
        <v>1</v>
      </c>
      <c r="BW165" s="12">
        <f>IF(K165="x",MIN(1.315,1.28+U165*N165/BJ165/AR165/1100),IF(L165="x",1.28,MAX(1.245,1.28-U165*N165/BJ165/AR165/1100)))</f>
        <v>1.29007021181367</v>
      </c>
      <c r="BX165" s="41">
        <f>BW165*T165*BV165*BP165*N165^0.3*BJ165^0.4/V165^0.325</f>
        <v>1.190511554347405</v>
      </c>
      <c r="BY165" s="3"/>
      <c r="BZ165" s="3"/>
      <c r="CA165" t="s" s="19">
        <v>253</v>
      </c>
      <c r="CB165" s="46">
        <v>36684</v>
      </c>
      <c r="CC165" t="s" s="19">
        <v>254</v>
      </c>
      <c r="CD165" s="3"/>
      <c r="CE165" s="3"/>
      <c r="CF165" s="3"/>
      <c r="CG165" t="s" s="30">
        <f>A165</f>
        <v>1113</v>
      </c>
    </row>
    <row r="166" ht="12.75" customHeight="1">
      <c r="A166" t="s" s="25">
        <v>1114</v>
      </c>
      <c r="B166" t="s" s="19">
        <v>1115</v>
      </c>
      <c r="C166" t="s" s="19">
        <v>426</v>
      </c>
      <c r="D166" t="s" s="19">
        <v>427</v>
      </c>
      <c r="E166" t="s" s="19">
        <v>1116</v>
      </c>
      <c r="F166" t="s" s="19">
        <v>1117</v>
      </c>
      <c r="G166" s="3"/>
      <c r="H166" s="32"/>
      <c r="I166" s="32"/>
      <c r="J166" t="s" s="24">
        <v>154</v>
      </c>
      <c r="K166" s="36"/>
      <c r="L166" s="36"/>
      <c r="M166" s="11">
        <v>8.5</v>
      </c>
      <c r="N166" s="5">
        <v>8.5</v>
      </c>
      <c r="O166" s="11">
        <v>5.06</v>
      </c>
      <c r="P166" s="11"/>
      <c r="Q166" s="37"/>
      <c r="R166" t="s" s="24">
        <v>1118</v>
      </c>
      <c r="S166" s="36"/>
      <c r="T166" s="38">
        <f>IF(S166&gt;0,1.048,IF(R166&gt;0,1.048,IF(Q166&gt;0,1.036,0.907+1.55*(P166/N166)-4.449*(P166/N166)^2)))</f>
        <v>1.048</v>
      </c>
      <c r="U166" s="39">
        <v>1000</v>
      </c>
      <c r="V166" s="40">
        <f>IF(H166="x",75+U166,IF(M166&lt;6.66,150+U166,-1.7384*M166^2+92.38*M166-388+U166))</f>
        <v>1271.6306</v>
      </c>
      <c r="W166" s="5"/>
      <c r="X166" s="5"/>
      <c r="Y166" s="5"/>
      <c r="Z166" s="5"/>
      <c r="AA166" s="5"/>
      <c r="AB166" s="5"/>
      <c r="AC166" s="5">
        <v>11.12</v>
      </c>
      <c r="AD166" s="33">
        <v>31.5</v>
      </c>
      <c r="AE166" s="5">
        <f>IF(AD166=0,(W166+4*X166+2*Y166+4*Z166+AA166)*AC166/12+W166*AB166/1.5,AD166)</f>
        <v>31.5</v>
      </c>
      <c r="AF166" s="11">
        <v>12</v>
      </c>
      <c r="AG166" s="11">
        <v>0.49</v>
      </c>
      <c r="AH166" s="5">
        <f>IF(AC166=0,AE166+AF166*AG166/2,AE166+AC166*AG166/2)</f>
        <v>34.2244</v>
      </c>
      <c r="AI166" s="5">
        <v>7.63</v>
      </c>
      <c r="AJ166" s="3"/>
      <c r="AK166" s="33">
        <v>12</v>
      </c>
      <c r="AL166" s="5">
        <f>IF(AK166=0,AI166*AJ166/2,AK166)</f>
        <v>12</v>
      </c>
      <c r="AM166" t="s" s="19">
        <v>154</v>
      </c>
      <c r="AN166" s="5"/>
      <c r="AO166" s="5"/>
      <c r="AP166" s="5">
        <f>AL166+AI166*(AN166-AO166)/2</f>
        <v>12</v>
      </c>
      <c r="AQ166" s="5">
        <f>0.1*(AE166+AL166)</f>
        <v>4.350000000000001</v>
      </c>
      <c r="AR166" s="11">
        <v>12</v>
      </c>
      <c r="AS166" s="11"/>
      <c r="AT166" s="11"/>
      <c r="AU166" s="11"/>
      <c r="AV166" s="33">
        <v>45</v>
      </c>
      <c r="AW166" s="5">
        <f>IF(AV166=0,AS166/6*(AT166+AU166*4),AV166)</f>
        <v>45</v>
      </c>
      <c r="AX166" s="11">
        <v>0.8</v>
      </c>
      <c r="AY166" s="5">
        <f>IF(AX166&lt;0.149*M166+0.329,1,AX166/(0.149*M166+0.329))</f>
        <v>1</v>
      </c>
      <c r="AZ166" s="5">
        <f>IF(AW166*AY166&gt;AL166,(AW166*AY166-AL166)/4,0)</f>
        <v>8.25</v>
      </c>
      <c r="BA166" s="12">
        <f>0.401+0.1831*(2*AR166^2/(AH166+AP166+AZ166))-0.02016*(2*AR166^2/(AH166+AP166+AZ166))^2+0.0007472*(2*AR166^2/(AH166+AP166+AZ166))^3</f>
        <v>0.915950595781261</v>
      </c>
      <c r="BB166" s="3"/>
      <c r="BC166" s="3"/>
      <c r="BD166" s="3"/>
      <c r="BE166" s="3"/>
      <c r="BF166" s="33">
        <v>35</v>
      </c>
      <c r="BG166" s="5">
        <f>IF(BF166=0,(BC166+BD166)*(BB166/12+BE166/3),BF166)</f>
        <v>35</v>
      </c>
      <c r="BH166" s="5">
        <f>IF(BG166*AY166&gt;AL166+AZ166,BG166*AY166-AL166-AZ166,0)</f>
        <v>14.75</v>
      </c>
      <c r="BI166" s="5">
        <f>IF(M166/1.6&lt;8,ROUND(M166/1.6,0),8)</f>
        <v>5</v>
      </c>
      <c r="BJ166" s="5">
        <f>(AH166+AP166+AZ166)*BA166+0.1*BH166</f>
        <v>51.37085913482673</v>
      </c>
      <c r="BK166" s="11">
        <v>1.2</v>
      </c>
      <c r="BL166" s="5">
        <f>M166*0.2</f>
        <v>1.7</v>
      </c>
      <c r="BM166" s="5">
        <f>ROUNDDOWN(M166/2.13,0)</f>
        <v>3</v>
      </c>
      <c r="BN166" s="12">
        <f>M166/4.26</f>
        <v>1.995305164319249</v>
      </c>
      <c r="BO166" s="5">
        <f>IF(M166&lt;8,1.22,IF(M166&lt;15.2,0.108333*M166+0.353,2))</f>
        <v>1.2738305</v>
      </c>
      <c r="BP166" s="12">
        <f>IF(BK166&lt;BO166,1+0.3*(BO166-BK166)/M166,1)</f>
        <v>1.002605782352941</v>
      </c>
      <c r="BQ166" s="39">
        <v>5</v>
      </c>
      <c r="BR166" s="39">
        <v>1</v>
      </c>
      <c r="BS166" t="s" s="24">
        <v>154</v>
      </c>
      <c r="BT166" s="36"/>
      <c r="BU166" s="36"/>
      <c r="BV166" s="5">
        <f>IF(BQ166&lt;(M166/0.3048)^0.5,1,IF(BU166="x",1-BR166*0.02,IF(BT166="x",1-BR166*0.01,1)))</f>
        <v>1</v>
      </c>
      <c r="BW166" s="12">
        <f>IF(K166="x",MIN(1.315,1.28+U166*N166/BJ166/AR166/1100),IF(L166="x",1.28,MAX(1.245,1.28-U166*N166/BJ166/AR166/1100)))</f>
        <v>1.267464889534954</v>
      </c>
      <c r="BX166" s="41">
        <f>BW166*T166*BV166*BP166*N166^0.3*BJ166^0.4/V166^0.325</f>
        <v>1.198457173680339</v>
      </c>
      <c r="BY166" s="29"/>
      <c r="BZ166" s="29"/>
      <c r="CA166" s="3"/>
      <c r="CB166" s="3"/>
      <c r="CC166" s="3"/>
      <c r="CD166" s="3"/>
      <c r="CE166" s="3"/>
      <c r="CF166" s="3"/>
      <c r="CG166" t="s" s="30">
        <f>A166</f>
        <v>1119</v>
      </c>
    </row>
    <row r="167" ht="12.75" customHeight="1">
      <c r="A167" t="s" s="25">
        <v>1120</v>
      </c>
      <c r="B167" t="s" s="19">
        <v>480</v>
      </c>
      <c r="C167" t="s" s="19">
        <v>193</v>
      </c>
      <c r="D167" t="s" s="19">
        <v>193</v>
      </c>
      <c r="E167" t="s" s="19">
        <v>1121</v>
      </c>
      <c r="F167" s="3"/>
      <c r="G167" t="s" s="19">
        <v>1122</v>
      </c>
      <c r="H167" s="32"/>
      <c r="I167" s="32"/>
      <c r="J167" s="36"/>
      <c r="K167" t="s" s="24">
        <v>154</v>
      </c>
      <c r="L167" s="36"/>
      <c r="M167" s="11">
        <v>7.95</v>
      </c>
      <c r="N167" s="5">
        <v>7.95</v>
      </c>
      <c r="O167" s="11"/>
      <c r="P167" s="11"/>
      <c r="Q167" t="s" s="24">
        <v>161</v>
      </c>
      <c r="R167" s="36"/>
      <c r="S167" s="36"/>
      <c r="T167" s="38">
        <f>IF(S167&gt;0,1.048,IF(R167&gt;0,1.048,IF(Q167&gt;0,1.036,0.907+1.55*(P167/N167)-4.449*(P167/N167)^2)))</f>
        <v>1.036</v>
      </c>
      <c r="U167" s="39">
        <v>1222</v>
      </c>
      <c r="V167" s="40">
        <f>IF(H167="x",75+U167,IF(M167&lt;6.66,150+U167,-1.7384*M167^2+92.38*M167-388+U167))</f>
        <v>1458.549774</v>
      </c>
      <c r="W167" s="5">
        <v>2.79</v>
      </c>
      <c r="X167" s="5">
        <v>2.6</v>
      </c>
      <c r="Y167" s="5">
        <v>2.34</v>
      </c>
      <c r="Z167" s="5">
        <v>1.68</v>
      </c>
      <c r="AA167" s="5">
        <v>0.13</v>
      </c>
      <c r="AB167" s="5"/>
      <c r="AC167" s="5">
        <v>10.22</v>
      </c>
      <c r="AD167" s="33"/>
      <c r="AE167" s="5">
        <f>IF(AD167=0,(W167+4*X167+2*Y167+4*Z167+AA167)*AC167/12+W167*AB167/1.5,AD167)</f>
        <v>21.0532</v>
      </c>
      <c r="AF167" s="11">
        <v>11.06</v>
      </c>
      <c r="AG167" s="11">
        <v>0.45</v>
      </c>
      <c r="AH167" s="5">
        <f>IF(AC167=0,AE167+AF167*AG167/2,AE167+AC167*AG167/2)</f>
        <v>23.3527</v>
      </c>
      <c r="AI167" s="5">
        <v>8.67</v>
      </c>
      <c r="AJ167" s="5">
        <v>3.05</v>
      </c>
      <c r="AK167" s="33"/>
      <c r="AL167" s="5">
        <f>IF(AK167=0,AI167*AJ167/2,AK167)</f>
        <v>13.22175</v>
      </c>
      <c r="AM167" s="3"/>
      <c r="AN167" s="5">
        <v>0.11</v>
      </c>
      <c r="AO167" s="5"/>
      <c r="AP167" s="5">
        <f>AL167+AI167*(AN167-AO167)/2</f>
        <v>13.6986</v>
      </c>
      <c r="AQ167" s="5">
        <f>0.1*(AE167+AL167)</f>
        <v>3.427495</v>
      </c>
      <c r="AR167" s="11">
        <v>11.06</v>
      </c>
      <c r="AS167" s="11"/>
      <c r="AT167" s="11"/>
      <c r="AU167" s="11"/>
      <c r="AV167" s="33"/>
      <c r="AW167" s="5">
        <f>IF(AV167=0,AS167/6*(AT167+AU167*4),AV167)</f>
        <v>0</v>
      </c>
      <c r="AX167" s="11"/>
      <c r="AY167" s="5">
        <f>IF(AX167&lt;0.149*M167+0.329,1,AX167/(0.149*M167+0.329))</f>
        <v>1</v>
      </c>
      <c r="AZ167" s="5">
        <f>IF(AW167*AY167&gt;AL167,(AW167*AY167-AL167)/4,0)</f>
        <v>0</v>
      </c>
      <c r="BA167" s="12">
        <f>0.401+0.1831*(2*AR167^2/(AH167+AP167+AZ167))-0.02016*(2*AR167^2/(AH167+AP167+AZ167))^2+0.0007472*(2*AR167^2/(AH167+AP167+AZ167))^3</f>
        <v>0.946150260720515</v>
      </c>
      <c r="BB167" s="3"/>
      <c r="BC167" s="3"/>
      <c r="BD167" s="3"/>
      <c r="BE167" s="3"/>
      <c r="BF167" s="33"/>
      <c r="BG167" s="5">
        <f>IF(BF167=0,(BC167+BD167)*(BB167/12+BE167/3),BF167)</f>
        <v>0</v>
      </c>
      <c r="BH167" s="5">
        <f>IF(BG167*AY167&gt;AL167+AZ167,BG167*AY167-AL167-AZ167,0)</f>
        <v>0</v>
      </c>
      <c r="BI167" s="5">
        <f>IF(M167/1.6&lt;8,ROUND(M167/1.6,0),8)</f>
        <v>5</v>
      </c>
      <c r="BJ167" s="5">
        <f>(AH167+AP167+AZ167)*BA167+0.1*BH167</f>
        <v>35.05609715503402</v>
      </c>
      <c r="BK167" s="11">
        <v>1.4</v>
      </c>
      <c r="BL167" s="5">
        <f>M167*0.2</f>
        <v>1.59</v>
      </c>
      <c r="BM167" s="5">
        <f>ROUNDDOWN(M167/2.13,0)</f>
        <v>3</v>
      </c>
      <c r="BN167" s="12">
        <f>M167/4.26</f>
        <v>1.866197183098592</v>
      </c>
      <c r="BO167" s="5">
        <f>IF(M167&lt;8,1.22,IF(M167&lt;15.2,0.108333*M167+0.353,2))</f>
        <v>1.22</v>
      </c>
      <c r="BP167" s="12">
        <f>IF(BK167&lt;BO167,1+0.3*(BO167-BK167)/M167,1)</f>
        <v>1</v>
      </c>
      <c r="BQ167" s="32"/>
      <c r="BR167" s="32"/>
      <c r="BS167" t="s" s="24">
        <v>154</v>
      </c>
      <c r="BT167" s="36"/>
      <c r="BU167" s="36"/>
      <c r="BV167" s="5">
        <f>IF(BQ167&lt;(M167/0.3048)^0.5,1,IF(BU167="x",1-BR167*0.02,IF(BT167="x",1-BR167*0.01,1)))</f>
        <v>1</v>
      </c>
      <c r="BW167" s="12">
        <f>IF(K167="x",MIN(1.315,1.28+U167*N167/BJ167/AR167/1100),IF(L167="x",1.28,MAX(1.245,1.28-U167*N167/BJ167/AR167/1100)))</f>
        <v>1.302778596344365</v>
      </c>
      <c r="BX167" s="41">
        <f>BW167*T167*BV167*BP167*N167^0.3*BJ167^0.4/V167^0.325</f>
        <v>0.9771731532697477</v>
      </c>
      <c r="BY167" s="29"/>
      <c r="BZ167" s="29"/>
      <c r="CA167" t="s" s="19">
        <v>162</v>
      </c>
      <c r="CB167" s="42">
        <v>1997</v>
      </c>
      <c r="CC167" t="s" s="19">
        <v>254</v>
      </c>
      <c r="CD167" t="s" s="19">
        <v>415</v>
      </c>
      <c r="CE167" s="3"/>
      <c r="CF167" s="3"/>
      <c r="CG167" t="s" s="30">
        <f>A167</f>
        <v>1123</v>
      </c>
    </row>
    <row r="168" ht="12.75" customHeight="1">
      <c r="A168" t="s" s="25">
        <v>1124</v>
      </c>
      <c r="B168" t="s" s="19">
        <v>1125</v>
      </c>
      <c r="C168" t="s" s="19">
        <v>344</v>
      </c>
      <c r="D168" t="s" s="19">
        <v>1126</v>
      </c>
      <c r="E168" t="s" s="19">
        <v>1127</v>
      </c>
      <c r="F168" t="s" s="19">
        <v>1128</v>
      </c>
      <c r="G168" t="s" s="19">
        <v>1129</v>
      </c>
      <c r="H168" s="32"/>
      <c r="I168" s="32"/>
      <c r="J168" s="36"/>
      <c r="K168" t="s" s="24">
        <v>154</v>
      </c>
      <c r="L168" s="36"/>
      <c r="M168" s="11">
        <v>9.300000000000001</v>
      </c>
      <c r="N168" s="5">
        <v>9</v>
      </c>
      <c r="O168" s="11">
        <v>6.96</v>
      </c>
      <c r="P168" s="11"/>
      <c r="Q168" s="37"/>
      <c r="R168" s="43">
        <v>1.6</v>
      </c>
      <c r="S168" s="36"/>
      <c r="T168" s="38">
        <f>IF(S168&gt;0,1.048,IF(R168&gt;0,1.048,IF(Q168&gt;0,1.036,0.907+1.55*(P168/N168)-4.449*(P168/N168)^2)))</f>
        <v>1.048</v>
      </c>
      <c r="U168" s="39">
        <v>2200</v>
      </c>
      <c r="V168" s="40">
        <f>IF(H168="x",75+U168,IF(M168&lt;6.66,150+U168,-1.7384*M168^2+92.38*M168-388+U168))</f>
        <v>2520.779784</v>
      </c>
      <c r="W168" s="5"/>
      <c r="X168" s="5"/>
      <c r="Y168" s="5"/>
      <c r="Z168" s="5"/>
      <c r="AA168" s="5"/>
      <c r="AB168" s="5"/>
      <c r="AC168" s="5">
        <v>11.4</v>
      </c>
      <c r="AD168" s="33">
        <v>41</v>
      </c>
      <c r="AE168" s="5">
        <f>IF(AD168=0,(W168+4*X168+2*Y168+4*Z168+AA168)*AC168/12+W168*AB168/1.5,AD168)</f>
        <v>41</v>
      </c>
      <c r="AF168" s="11">
        <v>12.2</v>
      </c>
      <c r="AG168" s="11"/>
      <c r="AH168" s="5">
        <f>IF(AC168=0,AE168+AF168*AG168/2,AE168+AC168*AG168/2)</f>
        <v>41</v>
      </c>
      <c r="AI168" s="3"/>
      <c r="AJ168" s="3"/>
      <c r="AK168" s="33">
        <v>28</v>
      </c>
      <c r="AL168" s="5">
        <f>IF(AK168=0,AI168*AJ168/2,AK168)</f>
        <v>28</v>
      </c>
      <c r="AM168" s="3"/>
      <c r="AN168" s="5"/>
      <c r="AO168" s="5">
        <v>0.1</v>
      </c>
      <c r="AP168" s="5">
        <f>AL168+AI168*(AN168-AO168)/2</f>
        <v>28</v>
      </c>
      <c r="AQ168" s="5">
        <f>0.1*(AE168+AL168)</f>
        <v>6.9</v>
      </c>
      <c r="AR168" s="11">
        <v>13</v>
      </c>
      <c r="AS168" s="11"/>
      <c r="AT168" s="11"/>
      <c r="AU168" s="11"/>
      <c r="AV168" s="33">
        <v>47</v>
      </c>
      <c r="AW168" s="5">
        <f>IF(AV168=0,AS168/6*(AT168+AU168*4),AV168)</f>
        <v>47</v>
      </c>
      <c r="AX168" s="11">
        <v>1.8</v>
      </c>
      <c r="AY168" s="5">
        <f>IF(AX168&lt;0.149*M168+0.329,1,AX168/(0.149*M168+0.329))</f>
        <v>1.0497463113081</v>
      </c>
      <c r="AZ168" s="5">
        <f>IF(AW168*AY168&gt;AL168,(AW168*AY168-AL168)/4,0)</f>
        <v>5.334519157870181</v>
      </c>
      <c r="BA168" s="12">
        <f>0.401+0.1831*(2*AR168^2/(AH168+AP168+AZ168))-0.02016*(2*AR168^2/(AH168+AP168+AZ168))^2+0.0007472*(2*AR168^2/(AH168+AP168+AZ168))^3</f>
        <v>0.8869884735136563</v>
      </c>
      <c r="BB168" s="3"/>
      <c r="BC168" s="3"/>
      <c r="BD168" s="3"/>
      <c r="BE168" s="3"/>
      <c r="BF168" s="33">
        <v>92</v>
      </c>
      <c r="BG168" s="5">
        <f>IF(BF168=0,(BC168+BD168)*(BB168/12+BE168/3),BF168)</f>
        <v>92</v>
      </c>
      <c r="BH168" s="5">
        <f>IF(BG168*AY168&gt;AL168+AZ168,BG168*AY168-AL168-AZ168,0)</f>
        <v>63.24214148247506</v>
      </c>
      <c r="BI168" s="5">
        <f>IF(M168/1.6&lt;8,ROUND(M168/1.6,0),8)</f>
        <v>6</v>
      </c>
      <c r="BJ168" s="5">
        <f>(AH168+AP168+AZ168)*BA168+0.1*BH168</f>
        <v>72.25807582545841</v>
      </c>
      <c r="BK168" s="11">
        <v>1.8</v>
      </c>
      <c r="BL168" s="5">
        <f>M168*0.2</f>
        <v>1.86</v>
      </c>
      <c r="BM168" s="5">
        <f>ROUNDDOWN(M168/2.13,0)</f>
        <v>4</v>
      </c>
      <c r="BN168" s="12">
        <f>M168/4.26</f>
        <v>2.183098591549296</v>
      </c>
      <c r="BO168" s="5">
        <f>IF(M168&lt;8,1.22,IF(M168&lt;15.2,0.108333*M168+0.353,2))</f>
        <v>1.3604969</v>
      </c>
      <c r="BP168" s="12">
        <f>IF(BK168&lt;BO168,1+0.3*(BO168-BK168)/M168,1)</f>
        <v>1</v>
      </c>
      <c r="BQ168" s="39">
        <v>8</v>
      </c>
      <c r="BR168" s="39">
        <v>1</v>
      </c>
      <c r="BS168" t="s" s="24">
        <v>154</v>
      </c>
      <c r="BT168" s="36"/>
      <c r="BU168" s="36"/>
      <c r="BV168" s="5">
        <f>IF(BQ168&lt;(M168/0.3048)^0.5,1,IF(BU168="x",1-BR168*0.02,IF(BT168="x",1-BR168*0.01,1)))</f>
        <v>1</v>
      </c>
      <c r="BW168" s="12">
        <f>IF(K168="x",MIN(1.315,1.28+U168*N168/BJ168/AR168/1100),IF(L168="x",1.28,MAX(1.245,1.28-U168*N168/BJ168/AR168/1100)))</f>
        <v>1.299162084912972</v>
      </c>
      <c r="BX168" s="41">
        <f>BW168*T168*BV168*BP168*N168^0.3*BJ168^0.4/V168^0.325</f>
        <v>1.143807882469416</v>
      </c>
      <c r="BY168" s="29"/>
      <c r="BZ168" s="29"/>
      <c r="CA168" t="s" s="19">
        <v>188</v>
      </c>
      <c r="CB168" s="42">
        <v>2008</v>
      </c>
      <c r="CC168" t="s" s="19">
        <v>614</v>
      </c>
      <c r="CD168" s="3"/>
      <c r="CE168" s="3"/>
      <c r="CF168" s="3"/>
      <c r="CG168" t="s" s="30">
        <f>A168</f>
        <v>1130</v>
      </c>
    </row>
    <row r="169" ht="12.75" customHeight="1">
      <c r="A169" t="s" s="25">
        <v>1131</v>
      </c>
      <c r="B169" t="s" s="19">
        <v>1132</v>
      </c>
      <c r="C169" t="s" s="19">
        <v>1133</v>
      </c>
      <c r="D169" t="s" s="19">
        <v>1134</v>
      </c>
      <c r="E169" t="s" s="19">
        <v>1135</v>
      </c>
      <c r="F169" t="s" s="19">
        <v>1136</v>
      </c>
      <c r="G169" s="3"/>
      <c r="H169" s="32"/>
      <c r="I169" s="32"/>
      <c r="J169" s="36"/>
      <c r="K169" t="s" s="24">
        <v>154</v>
      </c>
      <c r="L169" s="36"/>
      <c r="M169" s="11">
        <v>6.28</v>
      </c>
      <c r="N169" s="5">
        <v>5.99</v>
      </c>
      <c r="O169" s="11">
        <v>4.08</v>
      </c>
      <c r="P169" s="11"/>
      <c r="Q169" s="37">
        <v>1.03</v>
      </c>
      <c r="R169" s="36"/>
      <c r="S169" s="36"/>
      <c r="T169" s="38">
        <f>IF(S169&gt;0,1.048,IF(R169&gt;0,1.048,IF(Q169&gt;0,1.036,0.907+1.55*(P169/N169)-4.449*(P169/N169)^2)))</f>
        <v>1.036</v>
      </c>
      <c r="U169" s="39">
        <v>430</v>
      </c>
      <c r="V169" s="40">
        <f>IF(H169="x",75+U169,IF(M169&lt;6.66,150+U169,-1.7384*M169^2+92.38*M169-388+U169))</f>
        <v>580</v>
      </c>
      <c r="W169" s="5"/>
      <c r="X169" s="5"/>
      <c r="Y169" s="5"/>
      <c r="Z169" s="5"/>
      <c r="AA169" s="5"/>
      <c r="AB169" s="5"/>
      <c r="AC169" s="5">
        <v>6.23</v>
      </c>
      <c r="AD169" s="33">
        <v>14</v>
      </c>
      <c r="AE169" s="5">
        <f>IF(AD169=0,(W169+4*X169+2*Y169+4*Z169+AA169)*AC169/12+W169*AB169/1.5,AD169)</f>
        <v>14</v>
      </c>
      <c r="AF169" s="11">
        <v>7.05</v>
      </c>
      <c r="AG169" s="11"/>
      <c r="AH169" s="5">
        <f>IF(AC169=0,AE169+AF169*AG169/2,AE169+AC169*AG169/2)</f>
        <v>14</v>
      </c>
      <c r="AI169" s="5">
        <v>5.74</v>
      </c>
      <c r="AJ169" s="3"/>
      <c r="AK169" s="33">
        <v>6</v>
      </c>
      <c r="AL169" s="5">
        <f>IF(AK169=0,AI169*AJ169/2,AK169)</f>
        <v>6</v>
      </c>
      <c r="AM169" s="3"/>
      <c r="AN169" s="5"/>
      <c r="AO169" s="5">
        <v>0.04</v>
      </c>
      <c r="AP169" s="5">
        <f>AL169+AI169*(AN169-AO169)/2</f>
        <v>5.8852</v>
      </c>
      <c r="AQ169" s="5">
        <f>0.1*(AE169+AL169)</f>
        <v>2</v>
      </c>
      <c r="AR169" s="11">
        <v>7.2</v>
      </c>
      <c r="AS169" s="11"/>
      <c r="AT169" s="11"/>
      <c r="AU169" s="11"/>
      <c r="AV169" s="33">
        <v>16</v>
      </c>
      <c r="AW169" s="5">
        <f>IF(AV169=0,AS169/6*(AT169+AU169*4),AV169)</f>
        <v>16</v>
      </c>
      <c r="AX169" s="11">
        <v>0</v>
      </c>
      <c r="AY169" s="5">
        <f>IF(AX169&lt;0.149*M169+0.329,1,AX169/(0.149*M169+0.329))</f>
        <v>1</v>
      </c>
      <c r="AZ169" s="5">
        <f>IF(AW169*AY169&gt;AL169,(AW169*AY169-AL169)/4,0)</f>
        <v>2.5</v>
      </c>
      <c r="BA169" s="12">
        <f>0.401+0.1831*(2*AR169^2/(AH169+AP169+AZ169))-0.02016*(2*AR169^2/(AH169+AP169+AZ169))^2+0.0007472*(2*AR169^2/(AH169+AP169+AZ169))^3</f>
        <v>0.8908193573161147</v>
      </c>
      <c r="BB169" s="3"/>
      <c r="BC169" s="3"/>
      <c r="BD169" s="3"/>
      <c r="BE169" s="3"/>
      <c r="BF169" s="33"/>
      <c r="BG169" s="5">
        <f>IF(BF169=0,(BC169+BD169)*(BB169/12+BE169/3),BF169)</f>
        <v>0</v>
      </c>
      <c r="BH169" s="5">
        <f>IF(BG169*AY169&gt;AL169+AZ169,BG169*AY169-AL169-AZ169,0)</f>
        <v>0</v>
      </c>
      <c r="BI169" s="5">
        <f>IF(M169/1.6&lt;8,ROUND(M169/1.6,0),8)</f>
        <v>4</v>
      </c>
      <c r="BJ169" s="5">
        <f>(AH169+AP169+AZ169)*BA169+0.1*BH169</f>
        <v>19.94116947739269</v>
      </c>
      <c r="BK169" s="11">
        <v>0.7</v>
      </c>
      <c r="BL169" s="5">
        <f>M169*0.2</f>
        <v>1.256</v>
      </c>
      <c r="BM169" s="5">
        <f>ROUNDDOWN(M169/2.13,0)</f>
        <v>2</v>
      </c>
      <c r="BN169" s="12">
        <f>M169/4.26</f>
        <v>1.474178403755869</v>
      </c>
      <c r="BO169" s="5">
        <f>IF(M169&lt;8,1.22,IF(M169&lt;15.2,0.108333*M169+0.353,2))</f>
        <v>1.22</v>
      </c>
      <c r="BP169" s="12">
        <f>IF(BK169&lt;BO169,1+0.3*(BO169-BK169)/M169,1)</f>
        <v>1.02484076433121</v>
      </c>
      <c r="BQ169" s="39">
        <v>5</v>
      </c>
      <c r="BR169" s="39">
        <v>1</v>
      </c>
      <c r="BS169" t="s" s="24">
        <v>154</v>
      </c>
      <c r="BT169" s="36"/>
      <c r="BU169" s="36"/>
      <c r="BV169" s="5">
        <f>IF(BQ169&lt;(M169/0.3048)^0.5,1,IF(BU169="x",1-BR169*0.02,IF(BT169="x",1-BR169*0.01,1)))</f>
        <v>1</v>
      </c>
      <c r="BW169" s="12">
        <f>IF(K169="x",MIN(1.315,1.28+U169*N169/BJ169/AR169/1100),IF(L169="x",1.28,MAX(1.245,1.28-U169*N169/BJ169/AR169/1100)))</f>
        <v>1.296308704804567</v>
      </c>
      <c r="BX169" s="41">
        <f>BW169*T169*BV169*BP169*N169^0.3*BJ169^0.4/V169^0.325</f>
        <v>0.9856864423376711</v>
      </c>
      <c r="BY169" s="29"/>
      <c r="BZ169" s="29"/>
      <c r="CA169" s="3"/>
      <c r="CB169" s="3"/>
      <c r="CC169" s="3"/>
      <c r="CD169" s="3"/>
      <c r="CE169" s="3"/>
      <c r="CF169" s="3"/>
      <c r="CG169" t="s" s="30">
        <f>A169</f>
        <v>1137</v>
      </c>
    </row>
    <row r="170" ht="12.75" customHeight="1">
      <c r="A170" t="s" s="25">
        <v>1138</v>
      </c>
      <c r="B170" t="s" s="19">
        <v>360</v>
      </c>
      <c r="C170" t="s" s="19">
        <v>361</v>
      </c>
      <c r="D170" t="s" s="19">
        <v>433</v>
      </c>
      <c r="E170" t="s" s="19">
        <v>1139</v>
      </c>
      <c r="F170" t="s" s="19">
        <v>1140</v>
      </c>
      <c r="G170" t="s" s="19">
        <v>1141</v>
      </c>
      <c r="H170" s="32"/>
      <c r="I170" s="32"/>
      <c r="J170" s="36"/>
      <c r="K170" t="s" s="24">
        <v>154</v>
      </c>
      <c r="L170" s="36"/>
      <c r="M170" s="11">
        <v>9.140000000000001</v>
      </c>
      <c r="N170" s="5">
        <v>9.140000000000001</v>
      </c>
      <c r="O170" s="11">
        <v>6.6</v>
      </c>
      <c r="P170" s="11"/>
      <c r="Q170" s="37"/>
      <c r="R170" t="s" s="24">
        <v>1142</v>
      </c>
      <c r="S170" s="36"/>
      <c r="T170" s="38">
        <f>IF(S170&gt;0,1.048,IF(R170&gt;0,1.048,IF(Q170&gt;0,1.036,0.907+1.55*(P170/N170)-4.449*(P170/N170)^2)))</f>
        <v>1.048</v>
      </c>
      <c r="U170" s="39">
        <v>1020</v>
      </c>
      <c r="V170" s="40">
        <f>IF(H170="x",75+U170,IF(M170&lt;6.66,150+U170,-1.7384*M170^2+92.38*M170-388+U170))</f>
        <v>1331.12795936</v>
      </c>
      <c r="W170" s="5"/>
      <c r="X170" s="5"/>
      <c r="Y170" s="5"/>
      <c r="Z170" s="5"/>
      <c r="AA170" s="5"/>
      <c r="AB170" s="5"/>
      <c r="AC170" s="5">
        <v>14.23</v>
      </c>
      <c r="AD170" s="33">
        <v>41.14</v>
      </c>
      <c r="AE170" s="5">
        <f>IF(AD170=0,(W170+4*X170+2*Y170+4*Z170+AA170)*AC170/12+W170*AB170/1.5,AD170)</f>
        <v>41.14</v>
      </c>
      <c r="AF170" s="11">
        <v>15.24</v>
      </c>
      <c r="AG170" s="11">
        <v>0.59</v>
      </c>
      <c r="AH170" s="5">
        <f>IF(AC170=0,AE170+AF170*AG170/2,AE170+AC170*AG170/2)</f>
        <v>45.33785</v>
      </c>
      <c r="AI170" s="5">
        <v>11.31</v>
      </c>
      <c r="AJ170" s="3"/>
      <c r="AK170" s="33">
        <v>17.13</v>
      </c>
      <c r="AL170" s="5">
        <f>IF(AK170=0,AI170*AJ170/2,AK170)</f>
        <v>17.13</v>
      </c>
      <c r="AM170" t="s" s="19">
        <v>154</v>
      </c>
      <c r="AN170" s="5"/>
      <c r="AO170" s="5"/>
      <c r="AP170" s="5">
        <f>AL170+AI170*(AN170-AO170)/2</f>
        <v>17.13</v>
      </c>
      <c r="AQ170" s="5">
        <f>0.1*(AE170+AL170)</f>
        <v>5.827</v>
      </c>
      <c r="AR170" s="11">
        <v>15.55</v>
      </c>
      <c r="AS170" s="11"/>
      <c r="AT170" s="11"/>
      <c r="AU170" s="11"/>
      <c r="AV170" s="33">
        <v>55</v>
      </c>
      <c r="AW170" s="5">
        <f>IF(AV170=0,AS170/6*(AT170+AU170*4),AV170)</f>
        <v>55</v>
      </c>
      <c r="AX170" s="11">
        <v>1.75</v>
      </c>
      <c r="AY170" s="5">
        <f>IF(AX170&lt;0.149*M170+0.329,1,AX170/(0.149*M170+0.329))</f>
        <v>1.034976284257715</v>
      </c>
      <c r="AZ170" s="5">
        <f>IF(AW170*AY170&gt;AL170,(AW170*AY170-AL170)/4,0)</f>
        <v>9.948423908543582</v>
      </c>
      <c r="BA170" s="12">
        <f>0.401+0.1831*(2*AR170^2/(AH170+AP170+AZ170))-0.02016*(2*AR170^2/(AH170+AP170+AZ170))^2+0.0007472*(2*AR170^2/(AH170+AP170+AZ170))^3</f>
        <v>0.9472181654459608</v>
      </c>
      <c r="BB170" s="3"/>
      <c r="BC170" s="3"/>
      <c r="BD170" s="3"/>
      <c r="BE170" s="3"/>
      <c r="BF170" s="33">
        <v>78.16</v>
      </c>
      <c r="BG170" s="5">
        <f>IF(BF170=0,(BC170+BD170)*(BB170/12+BE170/3),BF170)</f>
        <v>78.16</v>
      </c>
      <c r="BH170" s="5">
        <f>IF(BG170*AY170&gt;AL170+AZ170,BG170*AY170-AL170-AZ170,0)</f>
        <v>53.81532246903942</v>
      </c>
      <c r="BI170" s="5">
        <f>IF(M170/1.6&lt;8,ROUND(M170/1.6,0),8)</f>
        <v>6</v>
      </c>
      <c r="BJ170" s="5">
        <f>(AH170+AP170+AZ170)*BA170+0.1*BH170</f>
        <v>73.9755423669868</v>
      </c>
      <c r="BK170" s="11">
        <v>1.75</v>
      </c>
      <c r="BL170" s="5">
        <f>M170*0.2</f>
        <v>1.828</v>
      </c>
      <c r="BM170" s="5">
        <f>ROUNDDOWN(M170/2.13,0)</f>
        <v>4</v>
      </c>
      <c r="BN170" s="12">
        <f>M170/4.26</f>
        <v>2.145539906103286</v>
      </c>
      <c r="BO170" s="5">
        <f>IF(M170&lt;8,1.22,IF(M170&lt;15.2,0.108333*M170+0.353,2))</f>
        <v>1.34316362</v>
      </c>
      <c r="BP170" s="12">
        <f>IF(BK170&lt;BO170,1+0.3*(BO170-BK170)/M170,1)</f>
        <v>1</v>
      </c>
      <c r="BQ170" s="39">
        <v>7</v>
      </c>
      <c r="BR170" s="39">
        <v>1</v>
      </c>
      <c r="BS170" t="s" s="24">
        <v>154</v>
      </c>
      <c r="BT170" s="36"/>
      <c r="BU170" s="36"/>
      <c r="BV170" s="5">
        <f>IF(BQ170&lt;(M170/0.3048)^0.5,1,IF(BU170="x",1-BR170*0.02,IF(BT170="x",1-BR170*0.01,1)))</f>
        <v>1</v>
      </c>
      <c r="BW170" s="12">
        <f>IF(K170="x",MIN(1.315,1.28+U170*N170/BJ170/AR170/1100),IF(L170="x",1.28,MAX(1.245,1.28-U170*N170/BJ170/AR170/1100)))</f>
        <v>1.28736775423961</v>
      </c>
      <c r="BX170" s="41">
        <f>BW170*T170*BV170*BP170*N170^0.3*BJ170^0.4/V170^0.325</f>
        <v>1.414528149770309</v>
      </c>
      <c r="BY170" s="29"/>
      <c r="BZ170" s="29"/>
      <c r="CA170" t="s" s="19">
        <v>1143</v>
      </c>
      <c r="CB170" t="s" s="19">
        <v>1144</v>
      </c>
      <c r="CC170" t="s" s="19">
        <v>180</v>
      </c>
      <c r="CD170" t="s" s="19">
        <v>1145</v>
      </c>
      <c r="CE170" s="3"/>
      <c r="CF170" s="3"/>
      <c r="CG170" t="s" s="30">
        <f>A170</f>
        <v>1146</v>
      </c>
    </row>
    <row r="171" ht="12.75" customHeight="1">
      <c r="A171" t="s" s="25">
        <v>1147</v>
      </c>
      <c r="B171" t="s" s="19">
        <v>1148</v>
      </c>
      <c r="C171" t="s" s="19">
        <v>213</v>
      </c>
      <c r="D171" t="s" s="19">
        <v>440</v>
      </c>
      <c r="E171" t="s" s="19">
        <v>1149</v>
      </c>
      <c r="F171" s="3"/>
      <c r="G171" s="3"/>
      <c r="H171" s="32"/>
      <c r="I171" s="32"/>
      <c r="J171" t="s" s="24">
        <v>154</v>
      </c>
      <c r="K171" s="36"/>
      <c r="L171" s="36"/>
      <c r="M171" s="11">
        <v>16.5</v>
      </c>
      <c r="N171" s="5">
        <v>16.5</v>
      </c>
      <c r="O171" s="11">
        <v>8.9</v>
      </c>
      <c r="P171" s="11"/>
      <c r="Q171" s="37"/>
      <c r="R171" t="s" s="24">
        <v>1150</v>
      </c>
      <c r="S171" s="36"/>
      <c r="T171" s="38">
        <f>IF(S171&gt;0,1.048,IF(R171&gt;0,1.048,IF(Q171&gt;0,1.036,0.907+1.55*(P171/N171)-4.449*(P171/N171)^2)))</f>
        <v>1.048</v>
      </c>
      <c r="U171" s="39">
        <v>10700</v>
      </c>
      <c r="V171" s="40">
        <f>IF(H171="x",75+U171,IF(M171&lt;6.66,150+U171,-1.7384*M171^2+92.38*M171-388+U171))</f>
        <v>11362.9906</v>
      </c>
      <c r="W171" s="5"/>
      <c r="X171" s="5"/>
      <c r="Y171" s="5"/>
      <c r="Z171" s="5"/>
      <c r="AA171" s="5"/>
      <c r="AB171" s="5"/>
      <c r="AC171" s="5">
        <v>21.2</v>
      </c>
      <c r="AD171" s="33">
        <v>107</v>
      </c>
      <c r="AE171" s="5">
        <f>IF(AD171=0,(W171+4*X171+2*Y171+4*Z171+AA171)*AC171/12+W171*AB171/1.5,AD171)</f>
        <v>107</v>
      </c>
      <c r="AF171" s="11">
        <v>21.8</v>
      </c>
      <c r="AG171" s="11">
        <v>0.72</v>
      </c>
      <c r="AH171" s="5">
        <f>IF(AC171=0,AE171+AF171*AG171/2,AE171+AC171*AG171/2)</f>
        <v>114.632</v>
      </c>
      <c r="AI171" s="5">
        <v>19.2</v>
      </c>
      <c r="AJ171" s="3"/>
      <c r="AK171" s="33">
        <v>62</v>
      </c>
      <c r="AL171" s="5">
        <f>IF(AK171=0,AI171*AJ171/2,AK171)</f>
        <v>62</v>
      </c>
      <c r="AM171" s="3"/>
      <c r="AN171" s="5"/>
      <c r="AO171" s="5">
        <v>0.174</v>
      </c>
      <c r="AP171" s="5">
        <f>AL171+AI171*(AN171-AO171)/2</f>
        <v>60.3296</v>
      </c>
      <c r="AQ171" s="5">
        <f>0.1*(AE171+AL171)</f>
        <v>16.9</v>
      </c>
      <c r="AR171" s="11">
        <v>21.97</v>
      </c>
      <c r="AS171" s="11"/>
      <c r="AT171" s="11"/>
      <c r="AU171" s="11"/>
      <c r="AV171" s="33">
        <v>112</v>
      </c>
      <c r="AW171" s="5">
        <f>IF(AV171=0,AS171/6*(AT171+AU171*4),AV171)</f>
        <v>112</v>
      </c>
      <c r="AX171" s="11">
        <v>1</v>
      </c>
      <c r="AY171" s="5">
        <f>IF(AX171&lt;0.149*M171+0.329,1,AX171/(0.149*M171+0.329))</f>
        <v>1</v>
      </c>
      <c r="AZ171" s="5">
        <f>IF(AW171*AY171&gt;AL171,(AW171*AY171-AL171)/4,0)</f>
        <v>12.5</v>
      </c>
      <c r="BA171" s="12">
        <f>0.401+0.1831*(2*AR171^2/(AH171+AP171+AZ171))-0.02016*(2*AR171^2/(AH171+AP171+AZ171))^2+0.0007472*(2*AR171^2/(AH171+AP171+AZ171))^3</f>
        <v>0.9113199160014516</v>
      </c>
      <c r="BB171" s="3"/>
      <c r="BC171" s="3"/>
      <c r="BD171" s="3"/>
      <c r="BE171" s="3"/>
      <c r="BF171" s="33">
        <v>189</v>
      </c>
      <c r="BG171" s="5">
        <f>IF(BF171=0,(BC171+BD171)*(BB171/12+BE171/3),BF171)</f>
        <v>189</v>
      </c>
      <c r="BH171" s="5">
        <f>IF(BG171*AY171&gt;AL171+AZ171,BG171*AY171-AL171-AZ171,0)</f>
        <v>114.5</v>
      </c>
      <c r="BI171" s="42">
        <f>IF(M171/1.6&lt;8,ROUND(M171/1.6,0),8)</f>
        <v>8</v>
      </c>
      <c r="BJ171" s="5">
        <f>(AH171+AP171+AZ171)*BA171+0.1*BH171</f>
        <v>182.2874895654977</v>
      </c>
      <c r="BK171" s="11">
        <v>2</v>
      </c>
      <c r="BL171" s="5">
        <f>M171*0.2</f>
        <v>3.3</v>
      </c>
      <c r="BM171" s="5">
        <f>ROUNDDOWN(M171/2.13,0)</f>
        <v>7</v>
      </c>
      <c r="BN171" s="12">
        <f>M171/4.26</f>
        <v>3.873239436619718</v>
      </c>
      <c r="BO171" s="5">
        <f>IF(M171&lt;8,1.22,IF(M171&lt;15.2,0.108333*M171+0.353,2))</f>
        <v>2</v>
      </c>
      <c r="BP171" s="12">
        <f>IF(BK171&lt;BO171,1+0.3*(BO171-BK171)/M171,1)</f>
        <v>1</v>
      </c>
      <c r="BQ171" s="39">
        <v>13</v>
      </c>
      <c r="BR171" s="39">
        <v>2</v>
      </c>
      <c r="BS171" s="36"/>
      <c r="BT171" t="s" s="24">
        <v>154</v>
      </c>
      <c r="BU171" s="36"/>
      <c r="BV171" s="5">
        <f>IF(BQ171&lt;(M171/0.3048)^0.5,1,IF(BU171="x",1-BR171*0.02,IF(BT171="x",1-BR171*0.01,1)))</f>
        <v>0.98</v>
      </c>
      <c r="BW171" s="12">
        <f>IF(K171="x",MIN(1.315,1.28+U171*N171/BJ171/AR171/1100),IF(L171="x",1.28,MAX(1.245,1.28-U171*N171/BJ171/AR171/1100)))</f>
        <v>1.245</v>
      </c>
      <c r="BX171" s="41">
        <f>BW171*T171*BV171*BP171*N171^0.3*BJ171^0.4/V171^0.325</f>
        <v>1.143587838513165</v>
      </c>
      <c r="BY171" s="29"/>
      <c r="BZ171" s="29"/>
      <c r="CA171" t="s" s="19">
        <v>162</v>
      </c>
      <c r="CB171" t="s" s="19">
        <v>163</v>
      </c>
      <c r="CC171" t="s" s="19">
        <v>232</v>
      </c>
      <c r="CD171" s="3"/>
      <c r="CE171" s="3"/>
      <c r="CF171" s="3"/>
      <c r="CG171" t="s" s="30">
        <f>A171</f>
        <v>1151</v>
      </c>
    </row>
    <row r="172" ht="12.75" customHeight="1">
      <c r="A172" t="s" s="25">
        <v>1152</v>
      </c>
      <c r="B172" t="s" s="19">
        <v>1153</v>
      </c>
      <c r="C172" t="s" s="19">
        <v>1154</v>
      </c>
      <c r="D172" t="s" s="19">
        <v>1155</v>
      </c>
      <c r="E172" t="s" s="19">
        <v>1156</v>
      </c>
      <c r="F172" t="s" s="19">
        <v>1157</v>
      </c>
      <c r="G172" t="s" s="19">
        <v>1158</v>
      </c>
      <c r="H172" s="32"/>
      <c r="I172" s="32"/>
      <c r="J172" s="36"/>
      <c r="K172" t="s" s="24">
        <v>154</v>
      </c>
      <c r="L172" s="36"/>
      <c r="M172" s="11">
        <v>7.65</v>
      </c>
      <c r="N172" s="5">
        <v>6.78</v>
      </c>
      <c r="O172" s="11">
        <v>5.95</v>
      </c>
      <c r="P172" s="11">
        <v>0.3</v>
      </c>
      <c r="Q172" s="37"/>
      <c r="R172" s="36"/>
      <c r="S172" s="36"/>
      <c r="T172" s="38">
        <f>IF(S172&gt;0,1.048,IF(R172&gt;0,1.048,IF(Q172&gt;0,1.036,0.907+1.55*(P172/N172)-4.449*(P172/N172)^2)))</f>
        <v>0.9668735218106352</v>
      </c>
      <c r="U172" s="39">
        <v>1100</v>
      </c>
      <c r="V172" s="40">
        <f>IF(H172="x",75+U172,IF(M172&lt;6.66,150+U172,-1.7384*M172^2+92.38*M172-388+U172))</f>
        <v>1316.971486</v>
      </c>
      <c r="W172" s="5"/>
      <c r="X172" s="5"/>
      <c r="Y172" s="5"/>
      <c r="Z172" s="5"/>
      <c r="AA172" s="5"/>
      <c r="AB172" s="5"/>
      <c r="AC172" s="5">
        <v>9.119999999999999</v>
      </c>
      <c r="AD172" s="33">
        <v>18</v>
      </c>
      <c r="AE172" s="5">
        <f>IF(AD172=0,(W172+4*X172+2*Y172+4*Z172+AA172)*AC172/12+W172*AB172/1.5,AD172)</f>
        <v>18</v>
      </c>
      <c r="AF172" s="11">
        <v>9.9</v>
      </c>
      <c r="AG172" s="11"/>
      <c r="AH172" s="5">
        <f>IF(AC172=0,AE172+AF172*AG172/2,AE172+AC172*AG172/2)</f>
        <v>18</v>
      </c>
      <c r="AI172" s="5">
        <v>8.08</v>
      </c>
      <c r="AJ172" s="3"/>
      <c r="AK172" s="33">
        <v>19</v>
      </c>
      <c r="AL172" s="5">
        <f>IF(AK172=0,AI172*AJ172/2,AK172)</f>
        <v>19</v>
      </c>
      <c r="AM172" s="3"/>
      <c r="AN172" s="5"/>
      <c r="AO172" s="5">
        <v>0.125</v>
      </c>
      <c r="AP172" s="5">
        <f>AL172+AI172*(AN172-AO172)/2</f>
        <v>18.495</v>
      </c>
      <c r="AQ172" s="5">
        <f>0.1*(AE172+AL172)</f>
        <v>3.7</v>
      </c>
      <c r="AR172" s="11">
        <v>10.15</v>
      </c>
      <c r="AS172" s="11"/>
      <c r="AT172" s="11"/>
      <c r="AU172" s="11"/>
      <c r="AV172" s="33">
        <v>38</v>
      </c>
      <c r="AW172" s="5">
        <f>IF(AV172=0,AS172/6*(AT172+AU172*4),AV172)</f>
        <v>38</v>
      </c>
      <c r="AX172" s="11">
        <v>0.6</v>
      </c>
      <c r="AY172" s="5">
        <f>IF(AX172&lt;0.149*M172+0.329,1,AX172/(0.149*M172+0.329))</f>
        <v>1</v>
      </c>
      <c r="AZ172" s="5">
        <f>IF(AW172*AY172&gt;AL172,(AW172*AY172-AL172)/4,0)</f>
        <v>4.75</v>
      </c>
      <c r="BA172" s="12">
        <f>0.401+0.1831*(2*AR172^2/(AH172+AP172+AZ172))-0.02016*(2*AR172^2/(AH172+AP172+AZ172))^2+0.0007472*(2*AR172^2/(AH172+AP172+AZ172))^3</f>
        <v>0.9057359986712793</v>
      </c>
      <c r="BB172" s="3"/>
      <c r="BC172" s="3"/>
      <c r="BD172" s="3"/>
      <c r="BE172" s="3"/>
      <c r="BF172" s="33">
        <v>38</v>
      </c>
      <c r="BG172" s="5">
        <f>IF(BF172=0,(BC172+BD172)*(BB172/12+BE172/3),BF172)</f>
        <v>38</v>
      </c>
      <c r="BH172" s="5">
        <f>IF(BG172*AY172&gt;AL172+AZ172,BG172*AY172-AL172-AZ172,0)</f>
        <v>14.25</v>
      </c>
      <c r="BI172" s="5">
        <f>IF(M172/1.6&lt;8,ROUND(M172/1.6,0),8)</f>
        <v>5</v>
      </c>
      <c r="BJ172" s="5">
        <f>(AH172+AP172+AZ172)*BA172+0.1*BH172</f>
        <v>38.78208126519691</v>
      </c>
      <c r="BK172" s="11">
        <v>1.65</v>
      </c>
      <c r="BL172" s="5">
        <f>M172*0.2</f>
        <v>1.53</v>
      </c>
      <c r="BM172" s="5">
        <f>ROUNDDOWN(M172/2.13,0)</f>
        <v>3</v>
      </c>
      <c r="BN172" s="12">
        <f>M172/4.26</f>
        <v>1.795774647887324</v>
      </c>
      <c r="BO172" s="5">
        <f>IF(M172&lt;8,1.22,IF(M172&lt;15.2,0.108333*M172+0.353,2))</f>
        <v>1.22</v>
      </c>
      <c r="BP172" s="12">
        <f>IF(BK172&lt;BO172,1+0.3*(BO172-BK172)/M172,1)</f>
        <v>1</v>
      </c>
      <c r="BQ172" s="39">
        <v>5</v>
      </c>
      <c r="BR172" s="39">
        <v>1</v>
      </c>
      <c r="BS172" t="s" s="24">
        <v>154</v>
      </c>
      <c r="BT172" s="36"/>
      <c r="BU172" s="36"/>
      <c r="BV172" s="5">
        <f>IF(BQ172&lt;(M172/0.3048)^0.5,1,IF(BU172="x",1-BR172*0.02,IF(BT172="x",1-BR172*0.01,1)))</f>
        <v>1</v>
      </c>
      <c r="BW172" s="12">
        <f>IF(K172="x",MIN(1.315,1.28+U172*N172/BJ172/AR172/1100),IF(L172="x",1.28,MAX(1.245,1.28-U172*N172/BJ172/AR172/1100)))</f>
        <v>1.297223941412498</v>
      </c>
      <c r="BX172" s="41">
        <f>BW172*T172*BV172*BP172*N172^0.3*BJ172^0.4/V172^0.325</f>
        <v>0.9318449468788121</v>
      </c>
      <c r="BY172" s="29"/>
      <c r="BZ172" s="29"/>
      <c r="CA172" t="s" s="19">
        <v>188</v>
      </c>
      <c r="CB172" t="s" s="19">
        <v>1159</v>
      </c>
      <c r="CC172" t="s" s="19">
        <v>1160</v>
      </c>
      <c r="CD172" s="3"/>
      <c r="CE172" s="3"/>
      <c r="CF172" s="3"/>
      <c r="CG172" t="s" s="30">
        <f>A172</f>
        <v>1161</v>
      </c>
    </row>
    <row r="173" ht="12.75" customHeight="1">
      <c r="A173" t="s" s="25">
        <v>1162</v>
      </c>
      <c r="B173" t="s" s="19">
        <v>898</v>
      </c>
      <c r="C173" t="s" s="19">
        <v>899</v>
      </c>
      <c r="D173" t="s" s="19">
        <v>900</v>
      </c>
      <c r="E173" t="s" s="19">
        <v>1163</v>
      </c>
      <c r="F173" t="s" s="19">
        <v>1164</v>
      </c>
      <c r="G173" t="s" s="19">
        <v>1165</v>
      </c>
      <c r="H173" s="32"/>
      <c r="I173" s="32"/>
      <c r="J173" s="36"/>
      <c r="K173" t="s" s="24">
        <v>154</v>
      </c>
      <c r="L173" s="36"/>
      <c r="M173" s="11">
        <v>6.72</v>
      </c>
      <c r="N173" s="5">
        <v>6.67</v>
      </c>
      <c r="O173" s="11">
        <v>4.8</v>
      </c>
      <c r="P173" s="11"/>
      <c r="Q173" t="s" s="24">
        <v>903</v>
      </c>
      <c r="R173" s="36"/>
      <c r="S173" s="36"/>
      <c r="T173" s="38">
        <f>IF(S173&gt;0,1.048,IF(R173&gt;0,1.048,IF(Q173&gt;0,1.036,0.907+1.55*(P173/N173)-4.449*(P173/N173)^2)))</f>
        <v>1.036</v>
      </c>
      <c r="U173" s="39">
        <v>430</v>
      </c>
      <c r="V173" s="40">
        <f>IF(H173="x",75+U173,IF(M173&lt;6.66,150+U173,-1.7384*M173^2+92.38*M173-388+U173))</f>
        <v>584.2902374399999</v>
      </c>
      <c r="W173" s="5"/>
      <c r="X173" s="5"/>
      <c r="Y173" s="5"/>
      <c r="Z173" s="5"/>
      <c r="AA173" s="5"/>
      <c r="AB173" s="5"/>
      <c r="AC173" s="5">
        <v>9.4</v>
      </c>
      <c r="AD173" s="33">
        <v>21</v>
      </c>
      <c r="AE173" s="5">
        <f>IF(AD173=0,(W173+4*X173+2*Y173+4*Z173+AA173)*AC173/12+W173*AB173/1.5,AD173)</f>
        <v>21</v>
      </c>
      <c r="AF173" s="11">
        <v>9.9</v>
      </c>
      <c r="AG173" s="11">
        <v>0.4</v>
      </c>
      <c r="AH173" s="5">
        <f>IF(AC173=0,AE173+AF173*AG173/2,AE173+AC173*AG173/2)</f>
        <v>22.88</v>
      </c>
      <c r="AI173" s="5">
        <v>8</v>
      </c>
      <c r="AJ173" s="3"/>
      <c r="AK173" s="33">
        <v>8.5</v>
      </c>
      <c r="AL173" s="5">
        <f>IF(AK173=0,AI173*AJ173/2,AK173)</f>
        <v>8.5</v>
      </c>
      <c r="AM173" t="s" s="19">
        <v>154</v>
      </c>
      <c r="AN173" s="5"/>
      <c r="AO173" s="5"/>
      <c r="AP173" s="5">
        <f>AL173+AI173*(AN173-AO173)/2</f>
        <v>8.5</v>
      </c>
      <c r="AQ173" s="5">
        <f>0.1*(AE173+AL173)</f>
        <v>2.95</v>
      </c>
      <c r="AR173" s="11">
        <v>9.9</v>
      </c>
      <c r="AS173" s="11"/>
      <c r="AT173" s="11"/>
      <c r="AU173" s="11"/>
      <c r="AV173" s="33">
        <v>22</v>
      </c>
      <c r="AW173" s="5">
        <f>IF(AV173=0,AS173/6*(AT173+AU173*4),AV173)</f>
        <v>22</v>
      </c>
      <c r="AX173" s="11">
        <v>1</v>
      </c>
      <c r="AY173" s="5">
        <f>IF(AX173&lt;0.149*M173+0.329,1,AX173/(0.149*M173+0.329))</f>
        <v>1</v>
      </c>
      <c r="AZ173" s="5">
        <f>IF(AW173*AY173&gt;AL173,(AW173*AY173-AL173)/4,0)</f>
        <v>3.375</v>
      </c>
      <c r="BA173" s="12">
        <f>0.401+0.1831*(2*AR173^2/(AH173+AP173+AZ173))-0.02016*(2*AR173^2/(AH173+AP173+AZ173))^2+0.0007472*(2*AR173^2/(AH173+AP173+AZ173))^3</f>
        <v>0.9264561331158349</v>
      </c>
      <c r="BB173" s="3"/>
      <c r="BC173" s="3"/>
      <c r="BD173" s="3"/>
      <c r="BE173" s="3"/>
      <c r="BF173" s="33">
        <v>50</v>
      </c>
      <c r="BG173" s="5">
        <f>IF(BF173=0,(BC173+BD173)*(BB173/12+BE173/3),BF173)</f>
        <v>50</v>
      </c>
      <c r="BH173" s="5">
        <f>IF(BG173*AY173&gt;AL173+AZ173,BG173*AY173-AL173-AZ173,0)</f>
        <v>38.125</v>
      </c>
      <c r="BI173" s="5">
        <f>IF(M173/1.6&lt;8,ROUND(M173/1.6,0),8)</f>
        <v>4</v>
      </c>
      <c r="BJ173" s="5">
        <f>(AH173+AP173+AZ173)*BA173+0.1*BH173</f>
        <v>36.01148290644084</v>
      </c>
      <c r="BK173" s="11">
        <v>0.9</v>
      </c>
      <c r="BL173" s="5">
        <f>M173*0.2</f>
        <v>1.344</v>
      </c>
      <c r="BM173" s="5">
        <f>ROUNDDOWN(M173/2.13,0)</f>
        <v>3</v>
      </c>
      <c r="BN173" s="12">
        <f>M173/4.26</f>
        <v>1.577464788732394</v>
      </c>
      <c r="BO173" s="5">
        <f>IF(M173&lt;8,1.22,IF(M173&lt;15.2,0.108333*M173+0.353,2))</f>
        <v>1.22</v>
      </c>
      <c r="BP173" s="12">
        <f>IF(BK173&lt;BO173,1+0.3*(BO173-BK173)/M173,1)</f>
        <v>1.014285714285714</v>
      </c>
      <c r="BQ173" s="39">
        <v>5</v>
      </c>
      <c r="BR173" s="39">
        <v>1</v>
      </c>
      <c r="BS173" t="s" s="24">
        <v>154</v>
      </c>
      <c r="BT173" s="36"/>
      <c r="BU173" s="36"/>
      <c r="BV173" s="5">
        <f>IF(BQ173&lt;(M173/0.3048)^0.5,1,IF(BU173="x",1-BR173*0.02,IF(BT173="x",1-BR173*0.01,1)))</f>
        <v>1</v>
      </c>
      <c r="BW173" s="12">
        <f>IF(K173="x",MIN(1.315,1.28+U173*N173/BJ173/AR173/1100),IF(L173="x",1.28,MAX(1.245,1.28-U173*N173/BJ173/AR173/1100)))</f>
        <v>1.287313502333781</v>
      </c>
      <c r="BX173" s="41">
        <f>BW173*T173*BV173*BP173*N173^0.3*BJ173^0.4/V173^0.325</f>
        <v>1.264341042938157</v>
      </c>
      <c r="BY173" s="29"/>
      <c r="BZ173" s="29"/>
      <c r="CA173" t="s" s="19">
        <v>188</v>
      </c>
      <c r="CB173" t="s" s="19">
        <v>598</v>
      </c>
      <c r="CC173" s="3"/>
      <c r="CD173" s="3"/>
      <c r="CE173" s="3"/>
      <c r="CF173" s="3"/>
      <c r="CG173" t="s" s="30">
        <f>A173</f>
        <v>1166</v>
      </c>
    </row>
    <row r="174" ht="12.75" customHeight="1">
      <c r="A174" t="s" s="25">
        <v>1167</v>
      </c>
      <c r="B174" t="s" s="19">
        <v>574</v>
      </c>
      <c r="C174" t="s" s="19">
        <v>1168</v>
      </c>
      <c r="D174" s="3"/>
      <c r="E174" s="3"/>
      <c r="F174" s="3"/>
      <c r="G174" s="3"/>
      <c r="H174" s="32"/>
      <c r="I174" s="32"/>
      <c r="J174" s="36"/>
      <c r="K174" t="s" s="24">
        <v>154</v>
      </c>
      <c r="L174" s="36"/>
      <c r="M174" s="11">
        <v>9.140000000000001</v>
      </c>
      <c r="N174" s="5">
        <v>9.140000000000001</v>
      </c>
      <c r="O174" s="11"/>
      <c r="P174" s="11"/>
      <c r="Q174" s="37"/>
      <c r="R174" t="s" s="24">
        <v>161</v>
      </c>
      <c r="S174" s="36"/>
      <c r="T174" s="38">
        <f>IF(S174&gt;0,1.048,IF(R174&gt;0,1.048,IF(Q174&gt;0,1.036,0.907+1.55*(P174/N174)-4.449*(P174/N174)^2)))</f>
        <v>1.048</v>
      </c>
      <c r="U174" s="39">
        <v>1783</v>
      </c>
      <c r="V174" s="40">
        <f>IF(H174="x",75+U174,IF(M174&lt;6.66,150+U174,-1.7384*M174^2+92.38*M174-388+U174))</f>
        <v>2094.12795936</v>
      </c>
      <c r="W174" s="5"/>
      <c r="X174" s="5"/>
      <c r="Y174" s="5"/>
      <c r="Z174" s="5"/>
      <c r="AA174" s="5"/>
      <c r="AB174" s="5"/>
      <c r="AC174" s="5">
        <v>12.7</v>
      </c>
      <c r="AD174" s="33">
        <v>35.38</v>
      </c>
      <c r="AE174" s="5">
        <f>IF(AD174=0,(W174+4*X174+2*Y174+4*Z174+AA174)*AC174/12+W174*AB174/1.5,AD174)</f>
        <v>35.38</v>
      </c>
      <c r="AF174" s="11">
        <v>13</v>
      </c>
      <c r="AG174" s="11"/>
      <c r="AH174" s="5">
        <f>IF(AC174=0,AE174+AF174*AG174/2,AE174+AC174*AG174/2)</f>
        <v>35.38</v>
      </c>
      <c r="AI174" s="5">
        <v>12</v>
      </c>
      <c r="AJ174" s="3"/>
      <c r="AK174" s="33">
        <v>18.9</v>
      </c>
      <c r="AL174" s="5">
        <f>IF(AK174=0,AI174*AJ174/2,AK174)</f>
        <v>18.9</v>
      </c>
      <c r="AM174" s="3"/>
      <c r="AN174" s="5"/>
      <c r="AO174" s="5">
        <v>0.098</v>
      </c>
      <c r="AP174" s="5">
        <f>AL174+AI174*(AN174-AO174)/2</f>
        <v>18.312</v>
      </c>
      <c r="AQ174" s="5">
        <f>0.1*(AE174+AL174)</f>
        <v>5.428000000000001</v>
      </c>
      <c r="AR174" s="11">
        <v>13.2</v>
      </c>
      <c r="AS174" s="11"/>
      <c r="AT174" s="11"/>
      <c r="AU174" s="11"/>
      <c r="AV174" s="33">
        <v>56.6</v>
      </c>
      <c r="AW174" s="5">
        <f>IF(AV174=0,AS174/6*(AT174+AU174*4),AV174)</f>
        <v>56.6</v>
      </c>
      <c r="AX174" s="11">
        <v>1.5</v>
      </c>
      <c r="AY174" s="5">
        <f>IF(AX174&lt;0.149*M174+0.329,1,AX174/(0.149*M174+0.329))</f>
        <v>1</v>
      </c>
      <c r="AZ174" s="5">
        <f>IF(AW174*AY174&gt;AL174,(AW174*AY174-AL174)/4,0)</f>
        <v>9.425000000000001</v>
      </c>
      <c r="BA174" s="12">
        <f>0.401+0.1831*(2*AR174^2/(AH174+AP174+AZ174))-0.02016*(2*AR174^2/(AH174+AP174+AZ174))^2+0.0007472*(2*AR174^2/(AH174+AP174+AZ174))^3</f>
        <v>0.9231391119758824</v>
      </c>
      <c r="BB174" s="5">
        <v>6.8</v>
      </c>
      <c r="BC174" s="5">
        <v>15.3</v>
      </c>
      <c r="BD174" s="5">
        <v>13.75</v>
      </c>
      <c r="BE174" s="5">
        <v>6.17</v>
      </c>
      <c r="BF174" s="33"/>
      <c r="BG174" s="5">
        <f>IF(BF174=0,(BC174+BD174)*(BB174/12+BE174/3),BF174)</f>
        <v>76.20783333333333</v>
      </c>
      <c r="BH174" s="5">
        <f>IF(BG174*AY174&gt;AL174+AZ174,BG174*AY174-AL174-AZ174,0)</f>
        <v>47.88283333333332</v>
      </c>
      <c r="BI174" s="5">
        <f>IF(M174/1.6&lt;8,ROUND(M174/1.6,0),8)</f>
        <v>6</v>
      </c>
      <c r="BJ174" s="5">
        <f>(AH174+AP174+AZ174)*BA174+0.1*BH174</f>
        <v>63.0540546639151</v>
      </c>
      <c r="BK174" s="11">
        <v>1.38</v>
      </c>
      <c r="BL174" s="5">
        <f>M174*0.2</f>
        <v>1.828</v>
      </c>
      <c r="BM174" s="5">
        <f>ROUNDDOWN(M174/2.13,0)</f>
        <v>4</v>
      </c>
      <c r="BN174" s="12">
        <f>M174/4.26</f>
        <v>2.145539906103286</v>
      </c>
      <c r="BO174" s="5">
        <f>IF(M174&lt;8,1.22,IF(M174&lt;15.2,0.108333*M174+0.353,2))</f>
        <v>1.34316362</v>
      </c>
      <c r="BP174" s="12">
        <f>IF(BK174&lt;BO174,1+0.3*(BO174-BK174)/M174,1)</f>
        <v>1</v>
      </c>
      <c r="BQ174" s="32"/>
      <c r="BR174" s="39">
        <v>0</v>
      </c>
      <c r="BS174" t="s" s="24">
        <v>154</v>
      </c>
      <c r="BT174" s="36"/>
      <c r="BU174" s="36"/>
      <c r="BV174" s="5">
        <f>IF(BQ174&lt;(M174/0.3048)^0.5,1,IF(BU174="x",1-BR174*0.02,IF(BT174="x",1-BR174*0.01,1)))</f>
        <v>1</v>
      </c>
      <c r="BW174" s="12">
        <f>IF(K174="x",MIN(1.315,1.28+U174*N174/BJ174/AR174/1100),IF(L174="x",1.28,MAX(1.245,1.28-U174*N174/BJ174/AR174/1100)))</f>
        <v>1.297799913983226</v>
      </c>
      <c r="BX174" s="41">
        <f>BW174*T174*BV174*BP174*N174^0.3*BJ174^0.4/V174^0.325</f>
        <v>1.154548137519392</v>
      </c>
      <c r="BY174" s="29"/>
      <c r="BZ174" s="29"/>
      <c r="CA174" t="s" s="19">
        <v>698</v>
      </c>
      <c r="CB174" t="s" s="19">
        <v>603</v>
      </c>
      <c r="CC174" t="s" s="19">
        <v>254</v>
      </c>
      <c r="CD174" t="s" s="19">
        <v>483</v>
      </c>
      <c r="CE174" t="s" s="19">
        <v>918</v>
      </c>
      <c r="CF174" s="3"/>
      <c r="CG174" t="s" s="30">
        <f>A174</f>
        <v>1169</v>
      </c>
    </row>
    <row r="175" ht="12.75" customHeight="1">
      <c r="A175" t="s" s="25">
        <v>1170</v>
      </c>
      <c r="B175" t="s" s="19">
        <v>1171</v>
      </c>
      <c r="C175" t="s" s="19">
        <v>784</v>
      </c>
      <c r="D175" t="s" s="19">
        <v>219</v>
      </c>
      <c r="E175" t="s" s="19">
        <v>1172</v>
      </c>
      <c r="F175" s="3"/>
      <c r="G175" s="3"/>
      <c r="H175" s="32"/>
      <c r="I175" s="32"/>
      <c r="J175" t="s" s="24">
        <v>154</v>
      </c>
      <c r="K175" s="36"/>
      <c r="L175" s="36"/>
      <c r="M175" s="11">
        <v>11.9</v>
      </c>
      <c r="N175" s="5">
        <v>11.8</v>
      </c>
      <c r="O175" s="11"/>
      <c r="P175" s="11"/>
      <c r="Q175" s="37"/>
      <c r="R175" t="s" s="24">
        <v>161</v>
      </c>
      <c r="S175" s="36"/>
      <c r="T175" s="38">
        <f>IF(S175&gt;0,1.048,IF(R175&gt;0,1.048,IF(Q175&gt;0,1.036,0.907+1.55*(P175/N175)-4.449*(P175/N175)^2)))</f>
        <v>1.048</v>
      </c>
      <c r="U175" s="39">
        <v>4700</v>
      </c>
      <c r="V175" s="40">
        <f>IF(H175="x",75+U175,IF(M175&lt;6.66,150+U175,-1.7384*M175^2+92.38*M175-388+U175))</f>
        <v>5165.147175999999</v>
      </c>
      <c r="W175" s="5"/>
      <c r="X175" s="5"/>
      <c r="Y175" s="5"/>
      <c r="Z175" s="5"/>
      <c r="AA175" s="5"/>
      <c r="AB175" s="5"/>
      <c r="AC175" s="5"/>
      <c r="AD175" s="33">
        <v>37</v>
      </c>
      <c r="AE175" s="5">
        <f>IF(AD175=0,(W175+4*X175+2*Y175+4*Z175+AA175)*AC175/12+W175*AB175/1.5,AD175)</f>
        <v>37</v>
      </c>
      <c r="AF175" s="11">
        <v>15.4</v>
      </c>
      <c r="AG175" s="11"/>
      <c r="AH175" s="5">
        <f>IF(AC175=0,AE175+AF175*AG175/2,AE175+AC175*AG175/2)</f>
        <v>37</v>
      </c>
      <c r="AI175" s="3"/>
      <c r="AJ175" s="3"/>
      <c r="AK175" s="33">
        <v>30</v>
      </c>
      <c r="AL175" s="5">
        <f>IF(AK175=0,AI175*AJ175/2,AK175)</f>
        <v>30</v>
      </c>
      <c r="AM175" s="3"/>
      <c r="AN175" s="5"/>
      <c r="AO175" s="5"/>
      <c r="AP175" s="5">
        <f>AL175+AI175*(AN175-AO175)/2</f>
        <v>30</v>
      </c>
      <c r="AQ175" s="5">
        <f>0.1*(AE175+AL175)</f>
        <v>6.7</v>
      </c>
      <c r="AR175" s="11">
        <v>15.4</v>
      </c>
      <c r="AS175" s="11"/>
      <c r="AT175" s="11"/>
      <c r="AU175" s="11"/>
      <c r="AV175" s="33">
        <v>0</v>
      </c>
      <c r="AW175" s="5">
        <f>IF(AV175=0,AS175/6*(AT175+AU175*4),AV175)</f>
        <v>0</v>
      </c>
      <c r="AX175" s="11">
        <v>0</v>
      </c>
      <c r="AY175" s="5">
        <f>IF(AX175&lt;0.149*M175+0.329,1,AX175/(0.149*M175+0.329))</f>
        <v>1</v>
      </c>
      <c r="AZ175" s="5">
        <f>IF(AW175*AY175&gt;AL175,(AW175*AY175-AL175)/4,0)</f>
        <v>0</v>
      </c>
      <c r="BA175" s="12">
        <f>0.401+0.1831*(2*AR175^2/(AH175+AP175+AZ175))-0.02016*(2*AR175^2/(AH175+AP175+AZ175))^2+0.0007472*(2*AR175^2/(AH175+AP175+AZ175))^3</f>
        <v>0.9519712839184089</v>
      </c>
      <c r="BB175" s="3"/>
      <c r="BC175" s="3"/>
      <c r="BD175" s="3"/>
      <c r="BE175" s="3"/>
      <c r="BF175" s="33">
        <v>80</v>
      </c>
      <c r="BG175" s="5">
        <f>IF(BF175=0,(BC175+BD175)*(BB175/12+BE175/3),BF175)</f>
        <v>80</v>
      </c>
      <c r="BH175" s="5">
        <f>IF(BG175*AY175&gt;AL175+AZ175,BG175*AY175-AL175-AZ175,0)</f>
        <v>50</v>
      </c>
      <c r="BI175" s="5">
        <f>IF(M175/1.6&lt;8,ROUND(M175/1.6,0),8)</f>
        <v>7</v>
      </c>
      <c r="BJ175" s="5">
        <f>(AH175+AP175+AZ175)*BA175+0.1*BH175</f>
        <v>68.7820760225334</v>
      </c>
      <c r="BK175" s="11">
        <v>1.9</v>
      </c>
      <c r="BL175" s="5">
        <f>M175*0.2</f>
        <v>2.38</v>
      </c>
      <c r="BM175" s="5">
        <f>ROUNDDOWN(M175/2.13,0)</f>
        <v>5</v>
      </c>
      <c r="BN175" s="12">
        <f>M175/4.26</f>
        <v>2.793427230046948</v>
      </c>
      <c r="BO175" s="5">
        <f>IF(M175&lt;8,1.22,IF(M175&lt;15.2,0.108333*M175+0.353,2))</f>
        <v>1.6421627</v>
      </c>
      <c r="BP175" s="12">
        <f>IF(BK175&lt;BO175,1+0.3*(BO175-BK175)/M175,1)</f>
        <v>1</v>
      </c>
      <c r="BQ175" s="32"/>
      <c r="BR175" s="39">
        <v>0</v>
      </c>
      <c r="BS175" t="s" s="24">
        <v>154</v>
      </c>
      <c r="BT175" s="36"/>
      <c r="BU175" s="36"/>
      <c r="BV175" s="5">
        <f>IF(BQ175&lt;(M175/0.3048)^0.5,1,IF(BU175="x",1-BR175*0.02,IF(BT175="x",1-BR175*0.01,1)))</f>
        <v>1</v>
      </c>
      <c r="BW175" s="12">
        <f>IF(K175="x",MIN(1.315,1.28+U175*N175/BJ175/AR175/1100),IF(L175="x",1.28,MAX(1.245,1.28-U175*N175/BJ175/AR175/1100)))</f>
        <v>1.245</v>
      </c>
      <c r="BX175" s="41">
        <f>BW175*T175*BV175*BP175*N175^0.3*BJ175^0.4/V175^0.325</f>
        <v>0.9232800901574176</v>
      </c>
      <c r="BY175" s="29"/>
      <c r="BZ175" s="29"/>
      <c r="CA175" t="s" s="19">
        <v>1055</v>
      </c>
      <c r="CB175" t="s" s="19">
        <v>206</v>
      </c>
      <c r="CC175" t="s" s="19">
        <v>164</v>
      </c>
      <c r="CD175" s="3"/>
      <c r="CE175" s="3"/>
      <c r="CF175" s="3"/>
      <c r="CG175" t="s" s="30">
        <f>A175</f>
        <v>1173</v>
      </c>
    </row>
    <row r="176" ht="12.75" customHeight="1">
      <c r="A176" t="s" s="25">
        <v>1174</v>
      </c>
      <c r="B176" t="s" s="19">
        <v>1175</v>
      </c>
      <c r="C176" t="s" s="19">
        <v>1176</v>
      </c>
      <c r="D176" t="s" s="19">
        <v>1177</v>
      </c>
      <c r="E176" s="3"/>
      <c r="F176" s="3"/>
      <c r="G176" s="3"/>
      <c r="H176" s="32"/>
      <c r="I176" s="32"/>
      <c r="J176" s="36"/>
      <c r="K176" t="s" s="24">
        <v>154</v>
      </c>
      <c r="L176" s="36"/>
      <c r="M176" s="11">
        <v>8</v>
      </c>
      <c r="N176" s="5">
        <v>7.6</v>
      </c>
      <c r="O176" s="11">
        <v>6</v>
      </c>
      <c r="P176" s="11"/>
      <c r="Q176" s="37"/>
      <c r="R176" t="s" s="24">
        <v>1178</v>
      </c>
      <c r="S176" s="36"/>
      <c r="T176" s="38">
        <f>IF(S176&gt;0,1.048,IF(R176&gt;0,1.048,IF(Q176&gt;0,1.036,0.907+1.55*(P176/N176)-4.449*(P176/N176)^2)))</f>
        <v>1.048</v>
      </c>
      <c r="U176" s="39">
        <v>970</v>
      </c>
      <c r="V176" s="40">
        <f>IF(H176="x",75+U176,IF(M176&lt;6.66,150+U176,-1.7384*M176^2+92.38*M176-388+U176))</f>
        <v>1209.7824</v>
      </c>
      <c r="W176" s="5">
        <v>3.27</v>
      </c>
      <c r="X176" s="5">
        <v>3.11</v>
      </c>
      <c r="Y176" s="5">
        <v>2.68</v>
      </c>
      <c r="Z176" s="5">
        <v>1.83</v>
      </c>
      <c r="AA176" s="5">
        <v>0.28</v>
      </c>
      <c r="AB176" s="5"/>
      <c r="AC176" s="5">
        <v>9.9</v>
      </c>
      <c r="AD176" s="33"/>
      <c r="AE176" s="5">
        <f>IF(AD176=0,(W176+4*X176+2*Y176+4*Z176+AA176)*AC176/12+W176*AB176/1.5,AD176)</f>
        <v>23.65275</v>
      </c>
      <c r="AF176" s="11"/>
      <c r="AG176" s="11"/>
      <c r="AH176" s="5">
        <f>IF(AC176=0,AE176+AF176*AG176/2,AE176+AC176*AG176/2)</f>
        <v>23.65275</v>
      </c>
      <c r="AI176" s="5">
        <v>10.45</v>
      </c>
      <c r="AJ176" s="5">
        <v>2.8</v>
      </c>
      <c r="AK176" s="33"/>
      <c r="AL176" s="5">
        <f>IF(AK176=0,AI176*AJ176/2,AK176)</f>
        <v>14.63</v>
      </c>
      <c r="AM176" t="s" s="19">
        <v>154</v>
      </c>
      <c r="AN176" s="5"/>
      <c r="AO176" s="5"/>
      <c r="AP176" s="5">
        <f>AL176+AI176*(AN176-AO176)/2</f>
        <v>14.63</v>
      </c>
      <c r="AQ176" s="5">
        <f>0.1*(AE176+AL176)</f>
        <v>3.828275</v>
      </c>
      <c r="AR176" s="11">
        <v>11.3</v>
      </c>
      <c r="AS176" s="11"/>
      <c r="AT176" s="11"/>
      <c r="AU176" s="11"/>
      <c r="AV176" s="33"/>
      <c r="AW176" s="5">
        <f>IF(AV176=0,AS176/6*(AT176+AU176*4),AV176)</f>
        <v>0</v>
      </c>
      <c r="AX176" s="11">
        <v>0.43</v>
      </c>
      <c r="AY176" s="5">
        <f>IF(AX176&lt;0.149*M176+0.329,1,AX176/(0.149*M176+0.329))</f>
        <v>1</v>
      </c>
      <c r="AZ176" s="5">
        <f>IF(AW176*AY176&gt;AL176,(AW176*AY176-AL176)/4,0)</f>
        <v>0</v>
      </c>
      <c r="BA176" s="12">
        <f>0.401+0.1831*(2*AR176^2/(AH176+AP176+AZ176))-0.02016*(2*AR176^2/(AH176+AP176+AZ176))^2+0.0007472*(2*AR176^2/(AH176+AP176+AZ176))^3</f>
        <v>0.9471179781053121</v>
      </c>
      <c r="BB176" s="3"/>
      <c r="BC176" s="3"/>
      <c r="BD176" s="3"/>
      <c r="BE176" s="3"/>
      <c r="BF176" s="33">
        <v>58</v>
      </c>
      <c r="BG176" s="5">
        <v>26</v>
      </c>
      <c r="BH176" s="5">
        <f>IF(BG176*AY176&gt;AL176+AZ176,BG176*AY176-AL176-AZ176,0)</f>
        <v>11.37</v>
      </c>
      <c r="BI176" s="5">
        <f>IF(M176/1.6&lt;8,ROUND(M176/1.6,0),8)</f>
        <v>5</v>
      </c>
      <c r="BJ176" s="5">
        <f>(AH176+AP176+AZ176)*BA176+0.1*BH176</f>
        <v>37.39528077631114</v>
      </c>
      <c r="BK176" s="11">
        <v>1.25</v>
      </c>
      <c r="BL176" s="5">
        <f>M176*0.2</f>
        <v>1.6</v>
      </c>
      <c r="BM176" s="5">
        <f>ROUNDDOWN(M176/2.13,0)</f>
        <v>3</v>
      </c>
      <c r="BN176" s="12">
        <f>M176/4.26</f>
        <v>1.877934272300469</v>
      </c>
      <c r="BO176" s="5">
        <f>IF(M176&lt;8,1.22,IF(M176&lt;15.2,0.108333*M176+0.353,2))</f>
        <v>1.219664</v>
      </c>
      <c r="BP176" s="12">
        <f>IF(BK176&lt;BO176,1+0.3*(BO176-BK176)/M176,1)</f>
        <v>1</v>
      </c>
      <c r="BQ176" s="32"/>
      <c r="BR176" s="39">
        <v>0</v>
      </c>
      <c r="BS176" t="s" s="24">
        <v>154</v>
      </c>
      <c r="BT176" s="36"/>
      <c r="BU176" s="36"/>
      <c r="BV176" s="5">
        <f>IF(BQ176&lt;(M176/0.3048)^0.5,1,IF(BU176="x",1-BR176*0.02,IF(BT176="x",1-BR176*0.01,1)))</f>
        <v>1</v>
      </c>
      <c r="BW176" s="12">
        <f>IF(K176="x",MIN(1.315,1.28+U176*N176/BJ176/AR176/1100),IF(L176="x",1.28,MAX(1.245,1.28-U176*N176/BJ176/AR176/1100)))</f>
        <v>1.295859788794629</v>
      </c>
      <c r="BX176" s="41">
        <f>BW176*T176*BV176*BP176*N176^0.3*BJ176^0.4/V176^0.325</f>
        <v>1.057816247354741</v>
      </c>
      <c r="BY176" s="29"/>
      <c r="BZ176" s="29"/>
      <c r="CA176" t="s" s="19">
        <v>213</v>
      </c>
      <c r="CB176" t="s" s="19">
        <v>1179</v>
      </c>
      <c r="CC176" t="s" s="19">
        <v>180</v>
      </c>
      <c r="CD176" s="3"/>
      <c r="CE176" s="3"/>
      <c r="CF176" s="3"/>
      <c r="CG176" t="s" s="30">
        <f>A176</f>
        <v>1180</v>
      </c>
    </row>
    <row r="177" ht="12.75" customHeight="1">
      <c r="A177" t="s" s="25">
        <v>1174</v>
      </c>
      <c r="B177" t="s" s="19">
        <v>1181</v>
      </c>
      <c r="C177" t="s" s="19">
        <v>344</v>
      </c>
      <c r="D177" t="s" s="19">
        <v>345</v>
      </c>
      <c r="E177" t="s" s="19">
        <v>1182</v>
      </c>
      <c r="F177" t="s" s="19">
        <v>1183</v>
      </c>
      <c r="G177" t="s" s="19">
        <v>1184</v>
      </c>
      <c r="H177" s="32"/>
      <c r="I177" s="32"/>
      <c r="J177" s="36"/>
      <c r="K177" t="s" s="24">
        <v>154</v>
      </c>
      <c r="L177" s="36"/>
      <c r="M177" s="11">
        <v>9.4</v>
      </c>
      <c r="N177" s="5">
        <v>9.33</v>
      </c>
      <c r="O177" s="11">
        <v>6.84</v>
      </c>
      <c r="P177" s="11"/>
      <c r="Q177" s="37"/>
      <c r="R177" s="43">
        <v>1.64</v>
      </c>
      <c r="S177" s="36"/>
      <c r="T177" s="38">
        <f>IF(S177&gt;0,1.048,IF(R177&gt;0,1.048,IF(Q177&gt;0,1.036,0.907+1.55*(P177/N177)-4.449*(P177/N177)^2)))</f>
        <v>1.048</v>
      </c>
      <c r="U177" s="39">
        <v>1800</v>
      </c>
      <c r="V177" s="40">
        <f>IF(H177="x",75+U177,IF(M177&lt;6.66,150+U177,-1.7384*M177^2+92.38*M177-388+U177))</f>
        <v>2126.766976</v>
      </c>
      <c r="W177" s="5">
        <v>4.27</v>
      </c>
      <c r="X177" s="5">
        <v>3.5</v>
      </c>
      <c r="Y177" s="5">
        <v>2.66</v>
      </c>
      <c r="Z177" s="5">
        <v>1.65</v>
      </c>
      <c r="AA177" s="5">
        <v>0.74</v>
      </c>
      <c r="AB177" s="5"/>
      <c r="AC177" s="5">
        <v>12.2</v>
      </c>
      <c r="AD177" s="33"/>
      <c r="AE177" s="5">
        <f>IF(AD177=0,(W177+4*X177+2*Y177+4*Z177+AA177)*AC177/12+W177*AB177/1.5,AD177)</f>
        <v>31.4455</v>
      </c>
      <c r="AF177" s="11">
        <v>12.95</v>
      </c>
      <c r="AG177" s="11">
        <v>0.48</v>
      </c>
      <c r="AH177" s="5">
        <f>IF(AC177=0,AE177+AF177*AG177/2,AE177+AC177*AG177/2)</f>
        <v>34.37349999999999</v>
      </c>
      <c r="AI177" s="5">
        <v>10.43</v>
      </c>
      <c r="AJ177" s="5">
        <v>3.66</v>
      </c>
      <c r="AK177" s="33"/>
      <c r="AL177" s="5">
        <f>IF(AK177=0,AI177*AJ177/2,AK177)</f>
        <v>19.0869</v>
      </c>
      <c r="AM177" s="3"/>
      <c r="AN177" s="5">
        <v>0.08</v>
      </c>
      <c r="AO177" s="5"/>
      <c r="AP177" s="5">
        <f>AL177+AI177*(AN177-AO177)/2</f>
        <v>19.5041</v>
      </c>
      <c r="AQ177" s="5">
        <f>0.1*(AE177+AL177)</f>
        <v>5.05324</v>
      </c>
      <c r="AR177" s="11">
        <v>13.26</v>
      </c>
      <c r="AS177" s="11"/>
      <c r="AT177" s="11"/>
      <c r="AU177" s="11"/>
      <c r="AV177" s="33">
        <v>36.72</v>
      </c>
      <c r="AW177" s="5">
        <f>IF(AV177=0,AS177/6*(AT177+AU177*4),AV177)</f>
        <v>36.72</v>
      </c>
      <c r="AX177" s="11">
        <v>2.01</v>
      </c>
      <c r="AY177" s="5">
        <f>IF(AX177&lt;0.149*M177+0.329,1,AX177/(0.149*M177+0.329))</f>
        <v>1.162118408880666</v>
      </c>
      <c r="AZ177" s="5">
        <f>IF(AW177*AY177&gt;AL177,(AW177*AY177-AL177)/4,0)</f>
        <v>5.896521993524514</v>
      </c>
      <c r="BA177" s="12">
        <f>0.401+0.1831*(2*AR177^2/(AH177+AP177+AZ177))-0.02016*(2*AR177^2/(AH177+AP177+AZ177))^2+0.0007472*(2*AR177^2/(AH177+AP177+AZ177))^3</f>
        <v>0.9325840523607833</v>
      </c>
      <c r="BB177" s="5">
        <v>9.07</v>
      </c>
      <c r="BC177" s="5">
        <v>13.78</v>
      </c>
      <c r="BD177" s="5">
        <v>12.1</v>
      </c>
      <c r="BE177" s="5">
        <v>8.5</v>
      </c>
      <c r="BF177" s="33"/>
      <c r="BG177" s="5">
        <f>IF(BF177=0,(BC177+BD177)*(BB177/12+BE177/3),BF177)</f>
        <v>92.88763333333334</v>
      </c>
      <c r="BH177" s="5">
        <f>IF(BG177*AY177&gt;AL177+AZ177,BG177*AY177-AL177-AZ177,0)</f>
        <v>82.96300666049953</v>
      </c>
      <c r="BI177" s="5">
        <f>IF(M177/1.6&lt;8,ROUND(M177/1.6,0),8)</f>
        <v>6</v>
      </c>
      <c r="BJ177" s="5">
        <f>(AH177+AP177+AZ177)*BA177+0.1*BH177</f>
        <v>64.04069358107887</v>
      </c>
      <c r="BK177" s="11">
        <v>1.8</v>
      </c>
      <c r="BL177" s="5">
        <f>M177*0.2</f>
        <v>1.88</v>
      </c>
      <c r="BM177" s="5">
        <f>ROUNDDOWN(M177/2.13,0)</f>
        <v>4</v>
      </c>
      <c r="BN177" s="12">
        <f>M177/4.26</f>
        <v>2.206572769953052</v>
      </c>
      <c r="BO177" s="5">
        <f>IF(M177&lt;8,1.22,IF(M177&lt;15.2,0.108333*M177+0.353,2))</f>
        <v>1.3713302</v>
      </c>
      <c r="BP177" s="12">
        <f>IF(BK177&lt;BO177,1+0.3*(BO177-BK177)/M177,1)</f>
        <v>1</v>
      </c>
      <c r="BQ177" s="39">
        <v>6.5</v>
      </c>
      <c r="BR177" s="39">
        <v>1</v>
      </c>
      <c r="BS177" t="s" s="24">
        <v>154</v>
      </c>
      <c r="BT177" s="36"/>
      <c r="BU177" s="36"/>
      <c r="BV177" s="5">
        <f>IF(BQ177&lt;(M177/0.3048)^0.5,1,IF(BU177="x",1-BR177*0.02,IF(BT177="x",1-BR177*0.01,1)))</f>
        <v>1</v>
      </c>
      <c r="BW177" s="12">
        <f>IF(K177="x",MIN(1.315,1.28+U177*N177/BJ177/AR177/1100),IF(L177="x",1.28,MAX(1.245,1.28-U177*N177/BJ177/AR177/1100)))</f>
        <v>1.297978850155226</v>
      </c>
      <c r="BX177" s="41">
        <f>BW177*T177*BV177*BP177*N177^0.3*BJ177^0.4/V177^0.325</f>
        <v>1.163233316148401</v>
      </c>
      <c r="BY177" s="29"/>
      <c r="BZ177" s="29"/>
      <c r="CA177" s="3"/>
      <c r="CB177" s="3"/>
      <c r="CC177" s="3"/>
      <c r="CD177" s="3"/>
      <c r="CE177" s="3"/>
      <c r="CF177" s="3"/>
      <c r="CG177" t="s" s="30">
        <f>A177</f>
        <v>1180</v>
      </c>
    </row>
    <row r="178" ht="12.75" customHeight="1">
      <c r="A178" t="s" s="25">
        <v>1185</v>
      </c>
      <c r="B178" t="s" s="19">
        <v>1186</v>
      </c>
      <c r="C178" t="s" s="19">
        <v>636</v>
      </c>
      <c r="D178" t="s" s="19">
        <v>1187</v>
      </c>
      <c r="E178" t="s" s="19">
        <v>1188</v>
      </c>
      <c r="F178" s="3"/>
      <c r="G178" s="3"/>
      <c r="H178" s="32"/>
      <c r="I178" s="32"/>
      <c r="J178" t="s" s="24">
        <v>154</v>
      </c>
      <c r="K178" s="36"/>
      <c r="L178" s="36"/>
      <c r="M178" s="11">
        <v>7.5</v>
      </c>
      <c r="N178" s="5">
        <v>7.13</v>
      </c>
      <c r="O178" s="11">
        <v>3.85</v>
      </c>
      <c r="P178" s="11">
        <v>0.6</v>
      </c>
      <c r="Q178" s="37"/>
      <c r="R178" s="36"/>
      <c r="S178" s="36"/>
      <c r="T178" s="38">
        <f>IF(S178&gt;0,1.048,IF(R178&gt;0,1.048,IF(Q178&gt;0,1.036,0.907+1.55*(P178/N178)-4.449*(P178/N178)^2)))</f>
        <v>1.005929321024689</v>
      </c>
      <c r="U178" s="39">
        <v>1200</v>
      </c>
      <c r="V178" s="40">
        <f>IF(H178="x",75+U178,IF(M178&lt;6.66,150+U178,-1.7384*M178^2+92.38*M178-388+U178))</f>
        <v>1407.065</v>
      </c>
      <c r="W178" s="5"/>
      <c r="X178" s="5"/>
      <c r="Y178" s="5"/>
      <c r="Z178" s="5"/>
      <c r="AA178" s="5"/>
      <c r="AB178" s="5"/>
      <c r="AC178" s="5"/>
      <c r="AD178" s="33">
        <v>24</v>
      </c>
      <c r="AE178" s="5">
        <f>IF(AD178=0,(W178+4*X178+2*Y178+4*Z178+AA178)*AC178/12+W178*AB178/1.5,AD178)</f>
        <v>24</v>
      </c>
      <c r="AF178" s="11">
        <v>9.4</v>
      </c>
      <c r="AG178" s="11"/>
      <c r="AH178" s="5">
        <f>IF(AC178=0,AE178+AF178*AG178/2,AE178+AC178*AG178/2)</f>
        <v>24</v>
      </c>
      <c r="AI178" s="3"/>
      <c r="AJ178" s="3"/>
      <c r="AK178" s="33">
        <v>11</v>
      </c>
      <c r="AL178" s="5">
        <f>IF(AK178=0,AI178*AJ178/2,AK178)</f>
        <v>11</v>
      </c>
      <c r="AM178" s="3"/>
      <c r="AN178" s="5"/>
      <c r="AO178" s="5"/>
      <c r="AP178" s="5">
        <f>AL178+AI178*(AN178-AO178)/2</f>
        <v>11</v>
      </c>
      <c r="AQ178" s="5">
        <f>0.1*(AE178+AL178)</f>
        <v>3.5</v>
      </c>
      <c r="AR178" s="11">
        <v>9.4</v>
      </c>
      <c r="AS178" s="11"/>
      <c r="AT178" s="11"/>
      <c r="AU178" s="11"/>
      <c r="AV178" s="33"/>
      <c r="AW178" s="5">
        <f>IF(AV178=0,AS178/6*(AT178+AU178*4),AV178)</f>
        <v>0</v>
      </c>
      <c r="AX178" s="11">
        <v>1.5</v>
      </c>
      <c r="AY178" s="5">
        <f>IF(AX178&lt;0.149*M178+0.329,1,AX178/(0.149*M178+0.329))</f>
        <v>1.036985827860353</v>
      </c>
      <c r="AZ178" s="5">
        <f>IF(AW178*AY178&gt;AL178,(AW178*AY178-AL178)/4,0)</f>
        <v>0</v>
      </c>
      <c r="BA178" s="12">
        <f>0.401+0.1831*(2*AR178^2/(AH178+AP178+AZ178))-0.02016*(2*AR178^2/(AH178+AP178+AZ178))^2+0.0007472*(2*AR178^2/(AH178+AP178+AZ178))^3</f>
        <v>0.9077232922728944</v>
      </c>
      <c r="BB178" s="3"/>
      <c r="BC178" s="3"/>
      <c r="BD178" s="3"/>
      <c r="BE178" s="3"/>
      <c r="BF178" s="33">
        <v>30</v>
      </c>
      <c r="BG178" s="5">
        <f>IF(BF178=0,(BC178+BD178)*(BB178/12+BE178/3),BF178)</f>
        <v>30</v>
      </c>
      <c r="BH178" s="5">
        <f>IF(BG178*AY178&gt;AL178+AZ178,BG178*AY178-AL178-AZ178,0)</f>
        <v>20.10957483581058</v>
      </c>
      <c r="BI178" s="5">
        <f>IF(M178/1.6&lt;8,ROUND(M178/1.6,0),8)</f>
        <v>5</v>
      </c>
      <c r="BJ178" s="5">
        <f>(AH178+AP178+AZ178)*BA178+0.1*BH178</f>
        <v>33.78127271313236</v>
      </c>
      <c r="BK178" s="11">
        <v>1.22</v>
      </c>
      <c r="BL178" s="5">
        <f>M178*0.2</f>
        <v>1.5</v>
      </c>
      <c r="BM178" s="5">
        <f>ROUNDDOWN(M178/2.13,0)</f>
        <v>3</v>
      </c>
      <c r="BN178" s="12">
        <f>M178/4.26</f>
        <v>1.76056338028169</v>
      </c>
      <c r="BO178" s="5">
        <f>IF(M178&lt;8,1.22,IF(M178&lt;15.2,0.108333*M178+0.353,2))</f>
        <v>1.22</v>
      </c>
      <c r="BP178" s="12">
        <f>IF(BK178&lt;BO178,1+0.3*(BO178-BK178)/M178,1)</f>
        <v>1</v>
      </c>
      <c r="BQ178" s="32"/>
      <c r="BR178" s="39">
        <v>0</v>
      </c>
      <c r="BS178" t="s" s="24">
        <v>154</v>
      </c>
      <c r="BT178" s="36"/>
      <c r="BU178" s="36"/>
      <c r="BV178" s="5">
        <f>IF(BQ178&lt;(M178/0.3048)^0.5,1,IF(BU178="x",1-BR178*0.02,IF(BT178="x",1-BR178*0.01,1)))</f>
        <v>1</v>
      </c>
      <c r="BW178" s="12">
        <f>IF(K178="x",MIN(1.315,1.28+U178*N178/BJ178/AR178/1100),IF(L178="x",1.28,MAX(1.245,1.28-U178*N178/BJ178/AR178/1100)))</f>
        <v>1.255505181290913</v>
      </c>
      <c r="BX178" s="41">
        <f>BW178*T178*BV178*BP178*N178^0.3*BJ178^0.4/V178^0.325</f>
        <v>0.8822286078707913</v>
      </c>
      <c r="BY178" s="29"/>
      <c r="BZ178" s="29"/>
      <c r="CA178" t="s" s="19">
        <v>213</v>
      </c>
      <c r="CB178" t="s" s="19">
        <v>917</v>
      </c>
      <c r="CC178" t="s" s="19">
        <v>254</v>
      </c>
      <c r="CD178" s="3"/>
      <c r="CE178" s="3"/>
      <c r="CF178" s="3"/>
      <c r="CG178" t="s" s="30">
        <f>A178</f>
        <v>1189</v>
      </c>
    </row>
    <row r="179" ht="12.75" customHeight="1">
      <c r="A179" t="s" s="25">
        <v>1190</v>
      </c>
      <c r="B179" t="s" s="19">
        <v>898</v>
      </c>
      <c r="C179" t="s" s="19">
        <v>899</v>
      </c>
      <c r="D179" t="s" s="19">
        <v>900</v>
      </c>
      <c r="E179" t="s" s="19">
        <v>1191</v>
      </c>
      <c r="F179" t="s" s="19">
        <v>1192</v>
      </c>
      <c r="G179" t="s" s="19">
        <v>1193</v>
      </c>
      <c r="H179" s="32"/>
      <c r="I179" s="32"/>
      <c r="J179" s="36"/>
      <c r="K179" t="s" s="24">
        <v>154</v>
      </c>
      <c r="L179" s="36"/>
      <c r="M179" s="11">
        <v>6.715</v>
      </c>
      <c r="N179" s="5">
        <v>6.674</v>
      </c>
      <c r="O179" s="11">
        <v>4.8</v>
      </c>
      <c r="P179" s="11"/>
      <c r="Q179" s="37">
        <v>0.29</v>
      </c>
      <c r="R179" s="36"/>
      <c r="S179" s="36"/>
      <c r="T179" s="38">
        <f>IF(S179&gt;0,1.048,IF(R179&gt;0,1.048,IF(Q179&gt;0,1.036,0.907+1.55*(P179/N179)-4.449*(P179/N179)^2)))</f>
        <v>1.036</v>
      </c>
      <c r="U179" s="39">
        <v>465</v>
      </c>
      <c r="V179" s="40">
        <f>IF(H179="x",75+U179,IF(M179&lt;6.66,150+U179,-1.7384*M179^2+92.38*M179-388+U179))</f>
        <v>618.94511446</v>
      </c>
      <c r="W179" s="5"/>
      <c r="X179" s="5"/>
      <c r="Y179" s="5"/>
      <c r="Z179" s="5"/>
      <c r="AA179" s="5"/>
      <c r="AB179" s="5"/>
      <c r="AC179" s="5">
        <v>9.140000000000001</v>
      </c>
      <c r="AD179" s="33">
        <v>20.48</v>
      </c>
      <c r="AE179" s="5">
        <f>IF(AD179=0,(W179+4*X179+2*Y179+4*Z179+AA179)*AC179/12+W179*AB179/1.5,AD179)</f>
        <v>20.48</v>
      </c>
      <c r="AF179" s="11">
        <v>10</v>
      </c>
      <c r="AG179" s="11">
        <v>0.37</v>
      </c>
      <c r="AH179" s="5">
        <f>IF(AC179=0,AE179+AF179*AG179/2,AE179+AC179*AG179/2)</f>
        <v>22.1709</v>
      </c>
      <c r="AI179" s="5">
        <v>8.5</v>
      </c>
      <c r="AJ179" s="3"/>
      <c r="AK179" s="33">
        <v>8.42</v>
      </c>
      <c r="AL179" s="5">
        <f>IF(AK179=0,AI179*AJ179/2,AK179)</f>
        <v>8.42</v>
      </c>
      <c r="AM179" t="s" s="19">
        <v>154</v>
      </c>
      <c r="AN179" s="5"/>
      <c r="AO179" s="5"/>
      <c r="AP179" s="5">
        <f>AL179+AI179*(AN179-AO179)/2</f>
        <v>8.42</v>
      </c>
      <c r="AQ179" s="5">
        <f>0.1*(AE179+AL179)</f>
        <v>2.89</v>
      </c>
      <c r="AR179" s="11">
        <v>10.04</v>
      </c>
      <c r="AS179" s="11"/>
      <c r="AT179" s="11"/>
      <c r="AU179" s="11"/>
      <c r="AV179" s="33">
        <v>20.3</v>
      </c>
      <c r="AW179" s="5">
        <f>IF(AV179=0,AS179/6*(AT179+AU179*4),AV179)</f>
        <v>20.3</v>
      </c>
      <c r="AX179" s="11">
        <v>-0.07000000000000001</v>
      </c>
      <c r="AY179" s="5">
        <f>IF(AX179&lt;0.149*M179+0.329,1,AX179/(0.149*M179+0.329))</f>
        <v>1</v>
      </c>
      <c r="AZ179" s="5">
        <f>IF(AW179*AY179&gt;AL179,(AW179*AY179-AL179)/4,0)</f>
        <v>2.97</v>
      </c>
      <c r="BA179" s="12">
        <f>0.401+0.1831*(2*AR179^2/(AH179+AP179+AZ179))-0.02016*(2*AR179^2/(AH179+AP179+AZ179))^2+0.0007472*(2*AR179^2/(AH179+AP179+AZ179))^3</f>
        <v>0.9353898798635334</v>
      </c>
      <c r="BB179" s="3"/>
      <c r="BC179" s="3"/>
      <c r="BD179" s="3"/>
      <c r="BE179" s="3"/>
      <c r="BF179" s="33"/>
      <c r="BG179" s="5">
        <f>IF(BF179=0,(BC179+BD179)*(BB179/12+BE179/3),BF179)</f>
        <v>0</v>
      </c>
      <c r="BH179" s="5">
        <f>IF(BG179*AY179&gt;AL179+AZ179,BG179*AY179-AL179-AZ179,0)</f>
        <v>0</v>
      </c>
      <c r="BI179" s="5">
        <f>IF(M179/1.6&lt;8,ROUND(M179/1.6,0),8)</f>
        <v>4</v>
      </c>
      <c r="BJ179" s="5">
        <f>(AH179+AP179+AZ179)*BA179+0.1*BH179</f>
        <v>31.39252621911205</v>
      </c>
      <c r="BK179" s="11">
        <v>1.02</v>
      </c>
      <c r="BL179" s="5">
        <f>M179*0.2</f>
        <v>1.343</v>
      </c>
      <c r="BM179" s="5">
        <f>ROUNDDOWN(M179/2.13,0)</f>
        <v>3</v>
      </c>
      <c r="BN179" s="12">
        <f>M179/4.26</f>
        <v>1.576291079812207</v>
      </c>
      <c r="BO179" s="5">
        <f>IF(M179&lt;8,1.22,IF(M179&lt;15.2,0.108333*M179+0.353,2))</f>
        <v>1.22</v>
      </c>
      <c r="BP179" s="12">
        <f>IF(BK179&lt;BO179,1+0.3*(BO179-BK179)/M179,1)</f>
        <v>1.008935219657483</v>
      </c>
      <c r="BQ179" s="32"/>
      <c r="BR179" s="32"/>
      <c r="BS179" s="36"/>
      <c r="BT179" s="36"/>
      <c r="BU179" s="36"/>
      <c r="BV179" s="5">
        <f>IF(BQ179&lt;(M179/0.3048)^0.5,1,IF(BU179="x",1-BR179*0.02,IF(BT179="x",1-BR179*0.01,1)))</f>
        <v>1</v>
      </c>
      <c r="BW179" s="12">
        <f>IF(K179="x",MIN(1.315,1.28+U179*N179/BJ179/AR179/1100),IF(L179="x",1.28,MAX(1.245,1.28-U179*N179/BJ179/AR179/1100)))</f>
        <v>1.288951307811172</v>
      </c>
      <c r="BX179" s="41">
        <f>BW179*T179*BV179*BP179*N179^0.3*BJ179^0.4/V179^0.325</f>
        <v>1.170089200934057</v>
      </c>
      <c r="BY179" s="29"/>
      <c r="BZ179" s="29"/>
      <c r="CA179" t="s" s="19">
        <v>188</v>
      </c>
      <c r="CB179" t="s" s="19">
        <v>1194</v>
      </c>
      <c r="CC179" t="s" s="19">
        <v>254</v>
      </c>
      <c r="CD179" s="3"/>
      <c r="CE179" s="3"/>
      <c r="CF179" s="3"/>
      <c r="CG179" t="s" s="30">
        <f>A179</f>
        <v>1195</v>
      </c>
    </row>
    <row r="180" ht="12.75" customHeight="1">
      <c r="A180" t="s" s="25">
        <v>1196</v>
      </c>
      <c r="B180" t="s" s="19">
        <v>217</v>
      </c>
      <c r="C180" t="s" s="19">
        <v>218</v>
      </c>
      <c r="D180" t="s" s="19">
        <v>219</v>
      </c>
      <c r="E180" t="s" s="19">
        <v>1197</v>
      </c>
      <c r="F180" s="3"/>
      <c r="G180" s="3"/>
      <c r="H180" s="32"/>
      <c r="I180" s="32"/>
      <c r="J180" t="s" s="24">
        <v>154</v>
      </c>
      <c r="K180" s="36"/>
      <c r="L180" s="36"/>
      <c r="M180" s="11">
        <v>14.3</v>
      </c>
      <c r="N180" s="5">
        <v>14.3</v>
      </c>
      <c r="O180" s="11">
        <v>7.5</v>
      </c>
      <c r="P180" s="11"/>
      <c r="Q180" s="37"/>
      <c r="R180" t="s" s="24">
        <v>221</v>
      </c>
      <c r="S180" s="36"/>
      <c r="T180" s="38">
        <f>IF(S180&gt;0,1.048,IF(R180&gt;0,1.048,IF(Q180&gt;0,1.036,0.907+1.55*(P180/N180)-4.449*(P180/N180)^2)))</f>
        <v>1.048</v>
      </c>
      <c r="U180" s="39">
        <v>10300</v>
      </c>
      <c r="V180" s="40">
        <f>IF(H180="x",75+U180,IF(M180&lt;6.66,150+U180,-1.7384*M180^2+92.38*M180-388+U180))</f>
        <v>10877.548584</v>
      </c>
      <c r="W180" s="5"/>
      <c r="X180" s="5"/>
      <c r="Y180" s="5"/>
      <c r="Z180" s="5"/>
      <c r="AA180" s="5"/>
      <c r="AB180" s="5"/>
      <c r="AC180" s="5">
        <v>17.8</v>
      </c>
      <c r="AD180" s="33">
        <v>80</v>
      </c>
      <c r="AE180" s="5">
        <f>IF(AD180=0,(W180+4*X180+2*Y180+4*Z180+AA180)*AC180/12+W180*AB180/1.5,AD180)</f>
        <v>80</v>
      </c>
      <c r="AF180" s="11">
        <v>19</v>
      </c>
      <c r="AG180" s="11"/>
      <c r="AH180" s="5">
        <f>IF(AC180=0,AE180+AF180*AG180/2,AE180+AC180*AG180/2)</f>
        <v>80</v>
      </c>
      <c r="AI180" s="3"/>
      <c r="AJ180" s="3"/>
      <c r="AK180" s="33">
        <v>60</v>
      </c>
      <c r="AL180" s="5">
        <f>IF(AK180=0,AI180*AJ180/2,AK180)</f>
        <v>60</v>
      </c>
      <c r="AM180" s="3"/>
      <c r="AN180" s="5"/>
      <c r="AO180" s="5"/>
      <c r="AP180" s="5">
        <f>AL180+AI180*(AN180-AO180)/2</f>
        <v>60</v>
      </c>
      <c r="AQ180" s="5">
        <f>0.1*(AE180+AL180)</f>
        <v>14</v>
      </c>
      <c r="AR180" s="11">
        <v>19</v>
      </c>
      <c r="AS180" s="11"/>
      <c r="AT180" s="11"/>
      <c r="AU180" s="11"/>
      <c r="AV180" s="33"/>
      <c r="AW180" s="5">
        <f>IF(AV180=0,AS180/6*(AT180+AU180*4),AV180)</f>
        <v>0</v>
      </c>
      <c r="AX180" s="11">
        <v>0</v>
      </c>
      <c r="AY180" s="5">
        <f>IF(AX180&lt;0.149*M180+0.329,1,AX180/(0.149*M180+0.329))</f>
        <v>1</v>
      </c>
      <c r="AZ180" s="5">
        <f>IF(AW180*AY180&gt;AL180,(AW180*AY180-AL180)/4,0)</f>
        <v>0</v>
      </c>
      <c r="BA180" s="12">
        <f>0.401+0.1831*(2*AR180^2/(AH180+AP180+AZ180))-0.02016*(2*AR180^2/(AH180+AP180+AZ180))^2+0.0007472*(2*AR180^2/(AH180+AP180+AZ180))^3</f>
        <v>0.9115809827498541</v>
      </c>
      <c r="BB180" s="3"/>
      <c r="BC180" s="3"/>
      <c r="BD180" s="3"/>
      <c r="BE180" s="3"/>
      <c r="BF180" s="33">
        <v>130</v>
      </c>
      <c r="BG180" s="5">
        <f>IF(BF180=0,(BC180+BD180)*(BB180/12+BE180/3),BF180)</f>
        <v>130</v>
      </c>
      <c r="BH180" s="5">
        <f>IF(BG180*AY180&gt;AL180+AZ180,BG180*AY180-AL180-AZ180,0)</f>
        <v>70</v>
      </c>
      <c r="BI180" s="42">
        <f>IF(M180/1.6&lt;8,ROUND(M180/1.6,0),8)</f>
        <v>8</v>
      </c>
      <c r="BJ180" s="5">
        <f>(AH180+AP180+AZ180)*BA180+0.1*BH180</f>
        <v>134.6213375849796</v>
      </c>
      <c r="BK180" s="11">
        <v>1.95</v>
      </c>
      <c r="BL180" s="5">
        <f>M180*0.2</f>
        <v>2.86</v>
      </c>
      <c r="BM180" s="5">
        <f>ROUNDDOWN(M180/2.13,0)</f>
        <v>6</v>
      </c>
      <c r="BN180" s="12">
        <f>M180/4.26</f>
        <v>3.356807511737089</v>
      </c>
      <c r="BO180" s="5">
        <f>IF(M180&lt;8,1.22,IF(M180&lt;15.2,0.108333*M180+0.353,2))</f>
        <v>1.9021619</v>
      </c>
      <c r="BP180" s="12">
        <f>IF(BK180&lt;BO180,1+0.3*(BO180-BK180)/M180,1)</f>
        <v>1</v>
      </c>
      <c r="BQ180" s="39">
        <v>10</v>
      </c>
      <c r="BR180" s="39">
        <v>2</v>
      </c>
      <c r="BS180" s="36"/>
      <c r="BT180" t="s" s="24">
        <v>154</v>
      </c>
      <c r="BU180" s="36"/>
      <c r="BV180" s="5">
        <f>IF(BQ180&lt;(M180/0.3048)^0.5,1,IF(BU180="x",1-BR180*0.02,IF(BT180="x",1-BR180*0.01,1)))</f>
        <v>0.98</v>
      </c>
      <c r="BW180" s="12">
        <f>IF(K180="x",MIN(1.315,1.28+U180*N180/BJ180/AR180/1100),IF(L180="x",1.28,MAX(1.245,1.28-U180*N180/BJ180/AR180/1100)))</f>
        <v>1.245</v>
      </c>
      <c r="BX180" s="41">
        <f>BW180*T180*BV180*BP180*N180^0.3*BJ180^0.4/V180^0.325</f>
        <v>0.984306824567274</v>
      </c>
      <c r="BY180" s="29"/>
      <c r="BZ180" s="29"/>
      <c r="CA180" t="s" s="19">
        <v>162</v>
      </c>
      <c r="CB180" t="s" s="19">
        <v>163</v>
      </c>
      <c r="CC180" t="s" s="19">
        <v>164</v>
      </c>
      <c r="CD180" s="3"/>
      <c r="CE180" s="3"/>
      <c r="CF180" s="3"/>
      <c r="CG180" t="s" s="30">
        <f>A180</f>
        <v>1198</v>
      </c>
    </row>
    <row r="181" ht="12.75" customHeight="1">
      <c r="A181" t="s" s="25">
        <v>1199</v>
      </c>
      <c r="B181" t="s" s="19">
        <v>1200</v>
      </c>
      <c r="C181" t="s" s="19">
        <v>213</v>
      </c>
      <c r="D181" t="s" s="19">
        <v>1201</v>
      </c>
      <c r="E181" t="s" s="19">
        <v>1202</v>
      </c>
      <c r="F181" s="3"/>
      <c r="G181" s="3"/>
      <c r="H181" s="32"/>
      <c r="I181" s="32"/>
      <c r="J181" t="s" s="24">
        <v>154</v>
      </c>
      <c r="K181" s="36"/>
      <c r="L181" s="36"/>
      <c r="M181" s="11">
        <v>9.49</v>
      </c>
      <c r="N181" s="5">
        <v>9.49</v>
      </c>
      <c r="O181" s="11">
        <v>5.9</v>
      </c>
      <c r="P181" s="11">
        <v>0.76</v>
      </c>
      <c r="Q181" s="37"/>
      <c r="R181" s="36"/>
      <c r="S181" s="36"/>
      <c r="T181" s="38">
        <f>IF(S181&gt;0,1.048,IF(R181&gt;0,1.048,IF(Q181&gt;0,1.036,0.907+1.55*(P181/N181)-4.449*(P181/N181)^2)))</f>
        <v>1.002597024653537</v>
      </c>
      <c r="U181" s="39">
        <v>3100</v>
      </c>
      <c r="V181" s="40">
        <f>IF(H181="x",75+U181,IF(M181&lt;6.66,150+U181,-1.7384*M181^2+92.38*M181-388+U181))</f>
        <v>3432.12572216</v>
      </c>
      <c r="W181" s="5"/>
      <c r="X181" s="5"/>
      <c r="Y181" s="5"/>
      <c r="Z181" s="5"/>
      <c r="AA181" s="5"/>
      <c r="AB181" s="5"/>
      <c r="AC181" s="5"/>
      <c r="AD181" s="33">
        <v>34.82</v>
      </c>
      <c r="AE181" s="5">
        <f>IF(AD181=0,(W181+4*X181+2*Y181+4*Z181+AA181)*AC181/12+W181*AB181/1.5,AD181)</f>
        <v>34.82</v>
      </c>
      <c r="AF181" s="11">
        <v>11.8</v>
      </c>
      <c r="AG181" s="11"/>
      <c r="AH181" s="5">
        <f>IF(AC181=0,AE181+AF181*AG181/2,AE181+AC181*AG181/2)</f>
        <v>34.82</v>
      </c>
      <c r="AI181" s="5">
        <v>9.9</v>
      </c>
      <c r="AJ181" s="3"/>
      <c r="AK181" s="33">
        <v>18.29</v>
      </c>
      <c r="AL181" s="5">
        <f>IF(AK181=0,AI181*AJ181/2,AK181)</f>
        <v>18.29</v>
      </c>
      <c r="AM181" s="3"/>
      <c r="AN181" s="5"/>
      <c r="AO181" s="5">
        <v>0.098</v>
      </c>
      <c r="AP181" s="5">
        <f>AL181+AI181*(AN181-AO181)/2</f>
        <v>17.8049</v>
      </c>
      <c r="AQ181" s="5">
        <f>0.1*(AE181+AL181)</f>
        <v>5.311</v>
      </c>
      <c r="AR181" s="11">
        <v>12.37</v>
      </c>
      <c r="AS181" s="11"/>
      <c r="AT181" s="11"/>
      <c r="AU181" s="11"/>
      <c r="AV181" s="33">
        <v>47.72</v>
      </c>
      <c r="AW181" s="5">
        <f>IF(AV181=0,AS181/6*(AT181+AU181*4),AV181)</f>
        <v>47.72</v>
      </c>
      <c r="AX181" s="11">
        <v>1.2</v>
      </c>
      <c r="AY181" s="5">
        <f>IF(AX181&lt;0.149*M181+0.329,1,AX181/(0.149*M181+0.329))</f>
        <v>1</v>
      </c>
      <c r="AZ181" s="5">
        <f>IF(AW181*AY181&gt;AL181,(AW181*AY181-AL181)/4,0)</f>
        <v>7.3575</v>
      </c>
      <c r="BA181" s="12">
        <f>0.401+0.1831*(2*AR181^2/(AH181+AP181+AZ181))-0.02016*(2*AR181^2/(AH181+AP181+AZ181))^2+0.0007472*(2*AR181^2/(AH181+AP181+AZ181))^3</f>
        <v>0.9096388782914452</v>
      </c>
      <c r="BB181" s="3"/>
      <c r="BC181" s="3"/>
      <c r="BD181" s="3"/>
      <c r="BE181" s="3"/>
      <c r="BF181" s="33">
        <v>85</v>
      </c>
      <c r="BG181" s="5">
        <f>IF(BF181=0,(BC181+BD181)*(BB181/12+BE181/3),BF181)</f>
        <v>85</v>
      </c>
      <c r="BH181" s="5">
        <f>IF(BG181*AY181&gt;AL181+AZ181,BG181*AY181-AL181-AZ181,0)</f>
        <v>59.35250000000001</v>
      </c>
      <c r="BI181" s="5">
        <f>IF(M181/1.6&lt;8,ROUND(M181/1.6,0),8)</f>
        <v>6</v>
      </c>
      <c r="BJ181" s="5">
        <f>(AH181+AP181+AZ181)*BA181+0.1*BH181</f>
        <v>60.49757305322878</v>
      </c>
      <c r="BK181" s="11">
        <v>1.8</v>
      </c>
      <c r="BL181" s="5">
        <f>M181*0.2</f>
        <v>1.898</v>
      </c>
      <c r="BM181" s="5">
        <f>ROUNDDOWN(M181/2.13,0)</f>
        <v>4</v>
      </c>
      <c r="BN181" s="12">
        <f>M181/4.26</f>
        <v>2.227699530516432</v>
      </c>
      <c r="BO181" s="5">
        <f>IF(M181&lt;8,1.22,IF(M181&lt;15.2,0.108333*M181+0.353,2))</f>
        <v>1.38108017</v>
      </c>
      <c r="BP181" s="12">
        <f>IF(BK181&lt;BO181,1+0.3*(BO181-BK181)/M181,1)</f>
        <v>1</v>
      </c>
      <c r="BQ181" s="39">
        <v>7</v>
      </c>
      <c r="BR181" s="39">
        <v>0</v>
      </c>
      <c r="BS181" t="s" s="24">
        <v>154</v>
      </c>
      <c r="BT181" s="36"/>
      <c r="BU181" s="36"/>
      <c r="BV181" s="5">
        <f>IF(BQ181&lt;(M181/0.3048)^0.5,1,IF(BU181="x",1-BR181*0.02,IF(BT181="x",1-BR181*0.01,1)))</f>
        <v>1</v>
      </c>
      <c r="BW181" s="12">
        <f>IF(K181="x",MIN(1.315,1.28+U181*N181/BJ181/AR181/1100),IF(L181="x",1.28,MAX(1.245,1.28-U181*N181/BJ181/AR181/1100)))</f>
        <v>1.245</v>
      </c>
      <c r="BX181" s="41">
        <f>BW181*T181*BV181*BP181*N181^0.3*BJ181^0.4/V181^0.325</f>
        <v>0.8976618565604074</v>
      </c>
      <c r="BY181" s="29"/>
      <c r="BZ181" s="48"/>
      <c r="CA181" t="s" s="19">
        <v>213</v>
      </c>
      <c r="CB181" t="s" s="19">
        <v>1203</v>
      </c>
      <c r="CC181" t="s" s="19">
        <v>614</v>
      </c>
      <c r="CD181" s="3"/>
      <c r="CE181" s="3"/>
      <c r="CF181" s="3"/>
      <c r="CG181" t="s" s="30">
        <f>A181</f>
        <v>1204</v>
      </c>
    </row>
    <row r="182" ht="12.75" customHeight="1">
      <c r="A182" t="s" s="25">
        <v>1205</v>
      </c>
      <c r="B182" t="s" s="19">
        <v>1206</v>
      </c>
      <c r="C182" s="3"/>
      <c r="D182" s="3"/>
      <c r="E182" t="s" s="19">
        <v>1207</v>
      </c>
      <c r="F182" s="3"/>
      <c r="G182" t="s" s="19">
        <v>1208</v>
      </c>
      <c r="H182" s="3"/>
      <c r="I182" s="3"/>
      <c r="J182" t="s" s="58">
        <v>154</v>
      </c>
      <c r="K182" s="3"/>
      <c r="L182" s="3"/>
      <c r="M182" s="59">
        <v>9.6</v>
      </c>
      <c r="N182" s="5">
        <f>M182-0.45</f>
        <v>9.15</v>
      </c>
      <c r="O182" s="59">
        <v>4.2</v>
      </c>
      <c r="P182" s="5"/>
      <c r="Q182" s="5"/>
      <c r="R182" s="39">
        <v>0.92</v>
      </c>
      <c r="S182" s="3"/>
      <c r="T182" s="63">
        <f>IF(S182&gt;0,1.048,IF(R182&gt;0,1.048,IF(Q182&gt;0,1.036,0.907+1.55*(P182/N182)-4.449*(P182/N182)^2)))</f>
        <v>1.048</v>
      </c>
      <c r="U182" s="39">
        <v>1530</v>
      </c>
      <c r="V182" s="64">
        <f>IF(H182="x",75+U182,IF(M182&lt;6.66,150+U182,-1.7384*M182^2+92.38*M182-388+U182))</f>
        <v>1868.637056</v>
      </c>
      <c r="W182" s="5">
        <v>2.88</v>
      </c>
      <c r="X182" s="5">
        <v>2.68</v>
      </c>
      <c r="Y182" s="5">
        <v>2.25</v>
      </c>
      <c r="Z182" s="5">
        <v>1.44</v>
      </c>
      <c r="AA182" s="5">
        <v>0.17</v>
      </c>
      <c r="AB182" s="5">
        <v>0</v>
      </c>
      <c r="AC182" s="5">
        <v>9.68</v>
      </c>
      <c r="AD182" s="5"/>
      <c r="AE182" s="60">
        <f>IF(AD182=0,(W182+4*X182+2*Y182+4*Z182+AA182)*AC182/12+W182*AB182/1.5,AD182)</f>
        <v>19.3842</v>
      </c>
      <c r="AF182" s="11"/>
      <c r="AG182" s="11">
        <v>0</v>
      </c>
      <c r="AH182" s="60">
        <f>IF(AC182=0,AE182+AF182*AG182/2,AE182+AC182*AG182/2)</f>
        <v>19.3842</v>
      </c>
      <c r="AI182" s="5">
        <v>9.1</v>
      </c>
      <c r="AJ182" s="5">
        <v>4.95</v>
      </c>
      <c r="AK182" s="5"/>
      <c r="AL182" s="60">
        <f>IF(AK182=0,AI182*AJ182/2,AK182)</f>
        <v>22.5225</v>
      </c>
      <c r="AM182" t="s" s="54">
        <v>154</v>
      </c>
      <c r="AN182" s="5"/>
      <c r="AO182" s="5"/>
      <c r="AP182" s="60">
        <f>AL182+AI182*(AN182-AO182)/2</f>
        <v>22.5225</v>
      </c>
      <c r="AQ182" s="60">
        <f>0.1*(AE182+AL182)</f>
        <v>4.19067</v>
      </c>
      <c r="AR182" s="11">
        <v>10.3</v>
      </c>
      <c r="AS182" s="11"/>
      <c r="AT182" s="11"/>
      <c r="AU182" s="11"/>
      <c r="AV182" s="5"/>
      <c r="AW182" s="5">
        <f>IF(AV182=0,AS182/6*(AT182+AU182*4),AV182)</f>
        <v>0</v>
      </c>
      <c r="AX182" s="11">
        <v>0</v>
      </c>
      <c r="AY182" s="60">
        <f>IF(AX182&lt;0.149*M182+0.329,1,AX182/(0.149*M182+0.329))</f>
        <v>1</v>
      </c>
      <c r="AZ182" s="5">
        <f>IF(AW182*AY182&gt;AL182,(AW182*AY182-AL182)/4,0)</f>
        <v>0</v>
      </c>
      <c r="BA182" s="66">
        <f>0.401+0.1831*(2*AR182^2/(AH182+AP182+AZ182))-0.02016*(2*AR182^2/(AH182+AP182+AZ182))^2+0.0007472*(2*AR182^2/(AH182+AP182+AZ182))^3</f>
        <v>0.9082352191503524</v>
      </c>
      <c r="BB182" s="3"/>
      <c r="BC182" s="3"/>
      <c r="BD182" s="3"/>
      <c r="BE182" s="3"/>
      <c r="BF182" s="65"/>
      <c r="BG182" s="5"/>
      <c r="BH182" s="60">
        <f>IF(BG182*AY182&gt;AL182+AZ182,BG182*AY182-AL182-AZ182,0)</f>
        <v>0</v>
      </c>
      <c r="BI182" s="60">
        <f>IF(M182/1.6&lt;8,ROUND(M182/1.6,0),8)</f>
        <v>6</v>
      </c>
      <c r="BJ182" s="60">
        <f>(AH182+AP182+AZ182)*BA182+0.1*BH182</f>
        <v>38.06114085836808</v>
      </c>
      <c r="BK182" s="11">
        <v>1.4</v>
      </c>
      <c r="BL182" s="60">
        <f>M182*0.2</f>
        <v>1.92</v>
      </c>
      <c r="BM182" s="60">
        <f>ROUNDDOWN(M182/2.13,0)</f>
        <v>4</v>
      </c>
      <c r="BN182" s="66">
        <f>M182/4.26</f>
        <v>2.253521126760563</v>
      </c>
      <c r="BO182" s="60">
        <f>IF(M182&lt;8,1.22,IF(M182&lt;15.2,0.108333*M182+0.353,2))</f>
        <v>1.3929968</v>
      </c>
      <c r="BP182" s="66">
        <f>IF(BK182&lt;BO182,1+0.3*(BO182-BK182)/M182,1)</f>
        <v>1</v>
      </c>
      <c r="BQ182" s="3"/>
      <c r="BR182" s="3"/>
      <c r="BS182" t="s" s="58">
        <v>154</v>
      </c>
      <c r="BT182" s="3"/>
      <c r="BU182" s="3"/>
      <c r="BV182" s="60">
        <f>IF(BQ182&lt;(M182/0.3048)^0.5,1,IF(BU182="x",1-BR182*0.02,IF(BT182="x",1-BR182*0.01,1)))</f>
        <v>1</v>
      </c>
      <c r="BW182" s="66">
        <f>IF(K182="x",MIN(1.315,1.28+U182*N182/BJ182/AR182/1100),IF(L182="x",1.28,MAX(1.245,1.28-U182*N182/BJ182/AR182/1100)))</f>
        <v>1.247536090935676</v>
      </c>
      <c r="BX182" s="67">
        <f>BW182*T182*BV182*BP182*N182^0.3*BJ182^0.4/V182^0.325</f>
        <v>0.94142957846604</v>
      </c>
      <c r="BY182" s="29"/>
      <c r="BZ182" s="48"/>
      <c r="CA182" t="s" s="19">
        <v>589</v>
      </c>
      <c r="CB182" s="46">
        <v>37844</v>
      </c>
      <c r="CC182" t="s" s="19">
        <v>254</v>
      </c>
      <c r="CD182" s="3"/>
      <c r="CE182" s="3"/>
      <c r="CF182" s="3"/>
      <c r="CG182" t="s" s="30">
        <f>A182</f>
        <v>1209</v>
      </c>
    </row>
    <row r="183" ht="12.75" customHeight="1">
      <c r="A183" t="s" s="25">
        <v>1210</v>
      </c>
      <c r="B183" t="s" s="19">
        <v>1211</v>
      </c>
      <c r="C183" t="s" s="19">
        <v>1212</v>
      </c>
      <c r="D183" t="s" s="19">
        <v>1213</v>
      </c>
      <c r="E183" t="s" s="19">
        <v>1214</v>
      </c>
      <c r="F183" t="s" s="19">
        <v>1215</v>
      </c>
      <c r="G183" t="s" s="19">
        <v>1216</v>
      </c>
      <c r="H183" s="32"/>
      <c r="I183" s="32"/>
      <c r="J183" t="s" s="24">
        <v>154</v>
      </c>
      <c r="K183" s="36"/>
      <c r="L183" s="36"/>
      <c r="M183" s="11">
        <v>9.699999999999999</v>
      </c>
      <c r="N183" s="5">
        <v>9.199999999999999</v>
      </c>
      <c r="O183" s="11">
        <v>6.1</v>
      </c>
      <c r="P183" s="11"/>
      <c r="Q183" s="37"/>
      <c r="R183" t="s" s="24">
        <v>1217</v>
      </c>
      <c r="S183" s="36"/>
      <c r="T183" s="38">
        <f>IF(S183&gt;0,1.048,IF(R183&gt;0,1.048,IF(Q183&gt;0,1.036,0.907+1.55*(P183/N183)-4.449*(P183/N183)^2)))</f>
        <v>1.048</v>
      </c>
      <c r="U183" s="39">
        <v>3400</v>
      </c>
      <c r="V183" s="40">
        <f>IF(H183="x",75+U183,IF(M183&lt;6.66,150+U183,-1.7384*M183^2+92.38*M183-388+U183))</f>
        <v>3744.519944</v>
      </c>
      <c r="W183" s="5"/>
      <c r="X183" s="5"/>
      <c r="Y183" s="5"/>
      <c r="Z183" s="5"/>
      <c r="AA183" s="5"/>
      <c r="AB183" s="5"/>
      <c r="AC183" s="5">
        <v>13</v>
      </c>
      <c r="AD183" s="33">
        <v>33</v>
      </c>
      <c r="AE183" s="5">
        <f>IF(AD183=0,(W183+4*X183+2*Y183+4*Z183+AA183)*AC183/12+W183*AB183/1.5,AD183)</f>
        <v>33</v>
      </c>
      <c r="AF183" s="11">
        <v>13.8</v>
      </c>
      <c r="AG183" s="11"/>
      <c r="AH183" s="5">
        <f>IF(AC183=0,AE183+AF183*AG183/2,AE183+AC183*AG183/2)</f>
        <v>33</v>
      </c>
      <c r="AI183" s="5">
        <v>13.45</v>
      </c>
      <c r="AJ183" s="3"/>
      <c r="AK183" s="33">
        <v>27</v>
      </c>
      <c r="AL183" s="5">
        <f>IF(AK183=0,AI183*AJ183/2,AK183)</f>
        <v>27</v>
      </c>
      <c r="AM183" t="s" s="19">
        <v>154</v>
      </c>
      <c r="AN183" s="5"/>
      <c r="AO183" s="5"/>
      <c r="AP183" s="5">
        <f>AL183+AI183*(AN183-AO183)/2</f>
        <v>27</v>
      </c>
      <c r="AQ183" s="5">
        <f>0.1*(AE183+AL183)</f>
        <v>6</v>
      </c>
      <c r="AR183" s="11">
        <v>13.1</v>
      </c>
      <c r="AS183" s="11"/>
      <c r="AT183" s="11"/>
      <c r="AU183" s="11"/>
      <c r="AV183" s="33">
        <v>34.5</v>
      </c>
      <c r="AW183" s="5">
        <f>IF(AV183=0,AS183/6*(AT183+AU183*4),AV183)</f>
        <v>34.5</v>
      </c>
      <c r="AX183" s="11">
        <v>1.7</v>
      </c>
      <c r="AY183" s="5">
        <f>IF(AX183&lt;0.149*M183+0.329,1,AX183/(0.149*M183+0.329))</f>
        <v>1</v>
      </c>
      <c r="AZ183" s="5">
        <f>IF(AW183*AY183&gt;AL183,(AW183*AY183-AL183)/4,0)</f>
        <v>1.875</v>
      </c>
      <c r="BA183" s="12">
        <f>0.401+0.1831*(2*AR183^2/(AH183+AP183+AZ183))-0.02016*(2*AR183^2/(AH183+AP183+AZ183))^2+0.0007472*(2*AR183^2/(AH183+AP183+AZ183))^3</f>
        <v>0.9238778662123424</v>
      </c>
      <c r="BB183" s="3"/>
      <c r="BC183" s="3"/>
      <c r="BD183" s="3"/>
      <c r="BE183" s="3"/>
      <c r="BF183" s="33"/>
      <c r="BG183" s="5">
        <f>IF(BF183=0,(BC183+BD183)*(BB183/12+BE183/3),BF183)</f>
        <v>0</v>
      </c>
      <c r="BH183" s="5">
        <f>IF(BG183*AY183&gt;AL183+AZ183,BG183*AY183-AL183-AZ183,0)</f>
        <v>0</v>
      </c>
      <c r="BI183" s="5">
        <f>IF(M183/1.6&lt;8,ROUND(M183/1.6,0),8)</f>
        <v>6</v>
      </c>
      <c r="BJ183" s="5">
        <f>(AH183+AP183+AZ183)*BA183+0.1*BH183</f>
        <v>57.16494297188869</v>
      </c>
      <c r="BK183" s="11">
        <v>1.75</v>
      </c>
      <c r="BL183" s="5">
        <f>M183*0.2</f>
        <v>1.94</v>
      </c>
      <c r="BM183" s="5">
        <f>ROUNDDOWN(M183/2.13,0)</f>
        <v>4</v>
      </c>
      <c r="BN183" s="12">
        <f>M183/4.26</f>
        <v>2.276995305164319</v>
      </c>
      <c r="BO183" s="5">
        <f>IF(M183&lt;8,1.22,IF(M183&lt;15.2,0.108333*M183+0.353,2))</f>
        <v>1.4038301</v>
      </c>
      <c r="BP183" s="12">
        <f>IF(BK183&lt;BO183,1+0.3*(BO183-BK183)/M183,1)</f>
        <v>1</v>
      </c>
      <c r="BQ183" s="39">
        <v>6</v>
      </c>
      <c r="BR183" s="39">
        <v>1</v>
      </c>
      <c r="BS183" t="s" s="24">
        <v>154</v>
      </c>
      <c r="BT183" s="36"/>
      <c r="BU183" s="36"/>
      <c r="BV183" s="5">
        <f>IF(BQ183&lt;(M183/0.3048)^0.5,1,IF(BU183="x",1-BR183*0.02,IF(BT183="x",1-BR183*0.01,1)))</f>
        <v>1</v>
      </c>
      <c r="BW183" s="12">
        <f>IF(K183="x",MIN(1.315,1.28+U183*N183/BJ183/AR183/1100),IF(L183="x",1.28,MAX(1.245,1.28-U183*N183/BJ183/AR183/1100)))</f>
        <v>1.245</v>
      </c>
      <c r="BX183" s="41">
        <f>BW183*T183*BV183*BP183*N183^0.3*BJ183^0.4/V183^0.325</f>
        <v>0.8834157625528967</v>
      </c>
      <c r="BY183" s="29"/>
      <c r="BZ183" s="29"/>
      <c r="CA183" s="3"/>
      <c r="CB183" s="3"/>
      <c r="CC183" s="3"/>
      <c r="CD183" s="3"/>
      <c r="CE183" s="3"/>
      <c r="CF183" s="3"/>
      <c r="CG183" t="s" s="30">
        <f>A183</f>
        <v>1218</v>
      </c>
    </row>
    <row r="184" ht="12.75" customHeight="1">
      <c r="A184" t="s" s="25">
        <v>1219</v>
      </c>
      <c r="B184" t="s" s="19">
        <v>338</v>
      </c>
      <c r="C184" t="s" s="19">
        <v>1220</v>
      </c>
      <c r="D184" t="s" s="19">
        <v>1221</v>
      </c>
      <c r="E184" t="s" s="19">
        <v>1220</v>
      </c>
      <c r="F184" s="3"/>
      <c r="G184" s="3"/>
      <c r="H184" s="32"/>
      <c r="I184" s="32"/>
      <c r="J184" s="36"/>
      <c r="K184" t="s" s="24">
        <v>154</v>
      </c>
      <c r="L184" s="36"/>
      <c r="M184" s="11">
        <v>8.529999999999999</v>
      </c>
      <c r="N184" s="5">
        <v>8.529999999999999</v>
      </c>
      <c r="O184" s="11">
        <v>6.95</v>
      </c>
      <c r="P184" s="11"/>
      <c r="Q184" s="37"/>
      <c r="R184" t="s" s="24">
        <v>161</v>
      </c>
      <c r="S184" s="36"/>
      <c r="T184" s="38">
        <f>IF(S184&gt;0,1.048,IF(R184&gt;0,1.048,IF(Q184&gt;0,1.036,0.907+1.55*(P184/N184)-4.449*(P184/N184)^2)))</f>
        <v>1.048</v>
      </c>
      <c r="U184" s="39">
        <v>850</v>
      </c>
      <c r="V184" s="40">
        <f>IF(H184="x",75+U184,IF(M184&lt;6.66,150+U184,-1.7384*M184^2+92.38*M184-388+U184))</f>
        <v>1123.51385144</v>
      </c>
      <c r="W184" s="5"/>
      <c r="X184" s="5"/>
      <c r="Y184" s="5"/>
      <c r="Z184" s="5"/>
      <c r="AA184" s="5"/>
      <c r="AB184" s="5"/>
      <c r="AC184" s="5">
        <v>14</v>
      </c>
      <c r="AD184" s="33">
        <v>46</v>
      </c>
      <c r="AE184" s="5">
        <f>IF(AD184=0,(W184+4*X184+2*Y184+4*Z184+AA184)*AC184/12+W184*AB184/1.5,AD184)</f>
        <v>46</v>
      </c>
      <c r="AF184" s="11">
        <v>14.7</v>
      </c>
      <c r="AG184" s="11">
        <v>0.5</v>
      </c>
      <c r="AH184" s="5">
        <f>IF(AC184=0,AE184+AF184*AG184/2,AE184+AC184*AG184/2)</f>
        <v>49.5</v>
      </c>
      <c r="AI184" s="3"/>
      <c r="AJ184" s="3"/>
      <c r="AK184" s="33">
        <v>18</v>
      </c>
      <c r="AL184" s="5">
        <f>IF(AK184=0,AI184*AJ184/2,AK184)</f>
        <v>18</v>
      </c>
      <c r="AM184" s="3"/>
      <c r="AN184" s="5"/>
      <c r="AO184" s="5"/>
      <c r="AP184" s="5">
        <f>AL184+AI184*(AN184-AO184)/2</f>
        <v>18</v>
      </c>
      <c r="AQ184" s="5">
        <f>0.1*(AE184+AL184)</f>
        <v>6.4</v>
      </c>
      <c r="AR184" s="11">
        <v>14.8</v>
      </c>
      <c r="AS184" s="11"/>
      <c r="AT184" s="11"/>
      <c r="AU184" s="11"/>
      <c r="AV184" s="33">
        <v>65</v>
      </c>
      <c r="AW184" s="5">
        <f>IF(AV184=0,AS184/6*(AT184+AU184*4),AV184)</f>
        <v>65</v>
      </c>
      <c r="AX184" s="11">
        <v>1.6</v>
      </c>
      <c r="AY184" s="5">
        <f>IF(AX184&lt;0.149*M184+0.329,1,AX184/(0.149*M184+0.329))</f>
        <v>1.000018750351569</v>
      </c>
      <c r="AZ184" s="5">
        <f>IF(AW184*AY184&gt;AL184,(AW184*AY184-AL184)/4,0)</f>
        <v>11.750304693213</v>
      </c>
      <c r="BA184" s="12">
        <f>0.401+0.1831*(2*AR184^2/(AH184+AP184+AZ184))-0.02016*(2*AR184^2/(AH184+AP184+AZ184))^2+0.0007472*(2*AR184^2/(AH184+AP184+AZ184))^3</f>
        <v>0.9233297493530084</v>
      </c>
      <c r="BB184" s="3"/>
      <c r="BC184" s="3"/>
      <c r="BD184" s="3"/>
      <c r="BE184" s="3"/>
      <c r="BF184" s="33">
        <v>0</v>
      </c>
      <c r="BG184" s="5">
        <f>IF(BF184=0,(BC184+BD184)*(BB184/12+BE184/3),BF184)</f>
        <v>0</v>
      </c>
      <c r="BH184" s="5">
        <f>IF(BG184*AY184&gt;AL184+AZ184,BG184*AY184-AL184-AZ184,0)</f>
        <v>0</v>
      </c>
      <c r="BI184" s="5">
        <f>IF(M184/1.6&lt;8,ROUND(M184/1.6,0),8)</f>
        <v>5</v>
      </c>
      <c r="BJ184" s="5">
        <f>(AH184+AP184+AZ184)*BA184+0.1*BH184</f>
        <v>73.1741639685339</v>
      </c>
      <c r="BK184" s="11">
        <v>1.22</v>
      </c>
      <c r="BL184" s="5">
        <f>M184*0.2</f>
        <v>1.706</v>
      </c>
      <c r="BM184" s="5">
        <f>ROUNDDOWN(M184/2.13,0)</f>
        <v>4</v>
      </c>
      <c r="BN184" s="12">
        <f>M184/4.26</f>
        <v>2.002347417840376</v>
      </c>
      <c r="BO184" s="5">
        <f>IF(M184&lt;8,1.22,IF(M184&lt;15.2,0.108333*M184+0.353,2))</f>
        <v>1.27708049</v>
      </c>
      <c r="BP184" s="12">
        <f>IF(BK184&lt;BO184,1+0.3*(BO184-BK184)/M184,1)</f>
        <v>1.002007520164127</v>
      </c>
      <c r="BQ184" s="32"/>
      <c r="BR184" s="39">
        <v>0</v>
      </c>
      <c r="BS184" t="s" s="24">
        <v>154</v>
      </c>
      <c r="BT184" s="36"/>
      <c r="BU184" s="36"/>
      <c r="BV184" s="5">
        <f>IF(BQ184&lt;(M184/0.3048)^0.5,1,IF(BU184="x",1-BR184*0.02,IF(BT184="x",1-BR184*0.01,1)))</f>
        <v>1</v>
      </c>
      <c r="BW184" s="12">
        <f>IF(K184="x",MIN(1.315,1.28+U184*N184/BJ184/AR184/1100),IF(L184="x",1.28,MAX(1.245,1.28-U184*N184/BJ184/AR184/1100)))</f>
        <v>1.286086334078978</v>
      </c>
      <c r="BX184" s="41">
        <f>BW184*T184*BV184*BP184*N184^0.3*BJ184^0.4/V184^0.325</f>
        <v>1.459124044072437</v>
      </c>
      <c r="BY184" s="29"/>
      <c r="BZ184" s="29"/>
      <c r="CA184" t="s" s="19">
        <v>557</v>
      </c>
      <c r="CB184" t="s" s="19">
        <v>558</v>
      </c>
      <c r="CC184" t="s" s="19">
        <v>254</v>
      </c>
      <c r="CD184" t="s" s="19">
        <v>340</v>
      </c>
      <c r="CE184" s="3"/>
      <c r="CF184" s="3"/>
      <c r="CG184" t="s" s="30">
        <f>A184</f>
        <v>1222</v>
      </c>
    </row>
    <row r="185" ht="12.75" customHeight="1">
      <c r="A185" t="s" s="25">
        <v>1223</v>
      </c>
      <c r="B185" t="s" s="19">
        <v>1224</v>
      </c>
      <c r="C185" t="s" s="19">
        <v>158</v>
      </c>
      <c r="D185" t="s" s="19">
        <v>159</v>
      </c>
      <c r="E185" t="s" s="19">
        <v>1225</v>
      </c>
      <c r="F185" s="3"/>
      <c r="G185" s="3"/>
      <c r="H185" s="32"/>
      <c r="I185" s="32"/>
      <c r="J185" t="s" s="24">
        <v>154</v>
      </c>
      <c r="K185" s="36"/>
      <c r="L185" s="36"/>
      <c r="M185" s="11">
        <v>13.35</v>
      </c>
      <c r="N185" s="5">
        <v>13.35</v>
      </c>
      <c r="O185" s="11">
        <v>6.8</v>
      </c>
      <c r="P185" s="11"/>
      <c r="Q185" s="37"/>
      <c r="R185" t="s" s="24">
        <v>1226</v>
      </c>
      <c r="S185" s="36"/>
      <c r="T185" s="38">
        <f>IF(S185&gt;0,1.048,IF(R185&gt;0,1.048,IF(Q185&gt;0,1.036,0.907+1.55*(P185/N185)-4.449*(P185/N185)^2)))</f>
        <v>1.048</v>
      </c>
      <c r="U185" s="39">
        <v>4500</v>
      </c>
      <c r="V185" s="40">
        <f>IF(H185="x",75+U185,IF(M185&lt;6.66,150+U185,-1.7384*M185^2+92.38*M185-388+U185))</f>
        <v>5035.451006</v>
      </c>
      <c r="W185" s="5"/>
      <c r="X185" s="5"/>
      <c r="Y185" s="5"/>
      <c r="Z185" s="5"/>
      <c r="AA185" s="5"/>
      <c r="AB185" s="5"/>
      <c r="AC185" s="5">
        <v>15.7</v>
      </c>
      <c r="AD185" s="33">
        <v>55</v>
      </c>
      <c r="AE185" s="5">
        <f>IF(AD185=0,(W185+4*X185+2*Y185+4*Z185+AA185)*AC185/12+W185*AB185/1.5,AD185)</f>
        <v>55</v>
      </c>
      <c r="AF185" s="11">
        <v>17</v>
      </c>
      <c r="AG185" s="11"/>
      <c r="AH185" s="5">
        <f>IF(AC185=0,AE185+AF185*AG185/2,AE185+AC185*AG185/2)</f>
        <v>55</v>
      </c>
      <c r="AI185" s="3"/>
      <c r="AJ185" s="3"/>
      <c r="AK185" s="33">
        <v>40</v>
      </c>
      <c r="AL185" s="5">
        <f>IF(AK185=0,AI185*AJ185/2,AK185)</f>
        <v>40</v>
      </c>
      <c r="AM185" s="3"/>
      <c r="AN185" s="5"/>
      <c r="AO185" s="5"/>
      <c r="AP185" s="5">
        <f>AL185+AI185*(AN185-AO185)/2</f>
        <v>40</v>
      </c>
      <c r="AQ185" s="5">
        <f>0.1*(AE185+AL185)</f>
        <v>9.5</v>
      </c>
      <c r="AR185" s="11">
        <v>17.2</v>
      </c>
      <c r="AS185" s="11"/>
      <c r="AT185" s="11"/>
      <c r="AU185" s="11"/>
      <c r="AV185" s="33"/>
      <c r="AW185" s="5">
        <f>IF(AV185=0,AS185/6*(AT185+AU185*4),AV185)</f>
        <v>0</v>
      </c>
      <c r="AX185" s="11">
        <v>0.1</v>
      </c>
      <c r="AY185" s="5">
        <f>IF(AX185&lt;0.149*M185+0.329,1,AX185/(0.149*M185+0.329))</f>
        <v>1</v>
      </c>
      <c r="AZ185" s="5">
        <f>IF(AW185*AY185&gt;AL185,(AW185*AY185-AL185)/4,0)</f>
        <v>0</v>
      </c>
      <c r="BA185" s="12">
        <f>0.401+0.1831*(2*AR185^2/(AH185+AP185+AZ185))-0.02016*(2*AR185^2/(AH185+AP185+AZ185))^2+0.0007472*(2*AR185^2/(AH185+AP185+AZ185))^3</f>
        <v>0.9398873013132563</v>
      </c>
      <c r="BB185" s="3"/>
      <c r="BC185" s="3"/>
      <c r="BD185" s="3"/>
      <c r="BE185" s="3"/>
      <c r="BF185" s="33">
        <v>105</v>
      </c>
      <c r="BG185" s="5">
        <f>IF(BF185=0,(BC185+BD185)*(BB185/12+BE185/3),BF185)</f>
        <v>105</v>
      </c>
      <c r="BH185" s="5">
        <f>IF(BG185*AY185&gt;AL185+AZ185,BG185*AY185-AL185-AZ185,0)</f>
        <v>65</v>
      </c>
      <c r="BI185" s="42">
        <f>IF(M185/1.6&lt;8,ROUND(M185/1.6,0),8)</f>
        <v>8</v>
      </c>
      <c r="BJ185" s="5">
        <f>(AH185+AP185+AZ185)*BA185+0.1*BH185</f>
        <v>95.78929362475934</v>
      </c>
      <c r="BK185" s="11">
        <v>1.8</v>
      </c>
      <c r="BL185" s="5">
        <f>M185*0.2</f>
        <v>2.67</v>
      </c>
      <c r="BM185" s="5">
        <f>ROUNDDOWN(M185/2.13,0)</f>
        <v>6</v>
      </c>
      <c r="BN185" s="12">
        <f>M185/4.26</f>
        <v>3.133802816901408</v>
      </c>
      <c r="BO185" s="5">
        <f>IF(M185&lt;8,1.22,IF(M185&lt;15.2,0.108333*M185+0.353,2))</f>
        <v>1.79924555</v>
      </c>
      <c r="BP185" s="12">
        <f>IF(BK185&lt;BO185,1+0.3*(BO185-BK185)/M185,1)</f>
        <v>1</v>
      </c>
      <c r="BQ185" s="39">
        <v>8</v>
      </c>
      <c r="BR185" s="39">
        <v>2</v>
      </c>
      <c r="BS185" s="36"/>
      <c r="BT185" t="s" s="24">
        <v>154</v>
      </c>
      <c r="BU185" s="36"/>
      <c r="BV185" s="5">
        <f>IF(BQ185&lt;(M185/0.3048)^0.5,1,IF(BU185="x",1-BR185*0.02,IF(BT185="x",1-BR185*0.01,1)))</f>
        <v>0.98</v>
      </c>
      <c r="BW185" s="12">
        <f>IF(K185="x",MIN(1.315,1.28+U185*N185/BJ185/AR185/1100),IF(L185="x",1.28,MAX(1.245,1.28-U185*N185/BJ185/AR185/1100)))</f>
        <v>1.246852126199731</v>
      </c>
      <c r="BX185" s="41">
        <f>BW185*T185*BV185*BP185*N185^0.3*BJ185^0.4/V185^0.325</f>
        <v>1.082457876036703</v>
      </c>
      <c r="BY185" s="29"/>
      <c r="BZ185" s="29"/>
      <c r="CA185" t="s" s="19">
        <v>222</v>
      </c>
      <c r="CB185" t="s" s="19">
        <v>223</v>
      </c>
      <c r="CC185" t="s" s="19">
        <v>224</v>
      </c>
      <c r="CD185" s="3"/>
      <c r="CE185" s="3"/>
      <c r="CF185" s="3"/>
      <c r="CG185" t="s" s="30">
        <f>A185</f>
        <v>1227</v>
      </c>
    </row>
    <row r="186" ht="12.75" customHeight="1">
      <c r="A186" t="s" s="25">
        <v>1228</v>
      </c>
      <c r="B186" t="s" s="19">
        <v>1020</v>
      </c>
      <c r="C186" t="s" s="19">
        <v>1021</v>
      </c>
      <c r="D186" t="s" s="19">
        <v>1022</v>
      </c>
      <c r="E186" s="3"/>
      <c r="F186" s="3"/>
      <c r="G186" s="3"/>
      <c r="H186" s="32"/>
      <c r="I186" s="32"/>
      <c r="J186" t="s" s="24">
        <v>154</v>
      </c>
      <c r="K186" s="36"/>
      <c r="L186" s="36"/>
      <c r="M186" s="11">
        <v>8.529999999999999</v>
      </c>
      <c r="N186" s="5">
        <v>8.529999999999999</v>
      </c>
      <c r="O186" s="11"/>
      <c r="P186" s="11"/>
      <c r="Q186" s="37"/>
      <c r="R186" t="s" s="24">
        <v>161</v>
      </c>
      <c r="S186" s="36"/>
      <c r="T186" s="38">
        <f>IF(S186&gt;0,1.048,IF(R186&gt;0,1.048,IF(Q186&gt;0,1.036,0.907+1.55*(P186/N186)-4.449*(P186/N186)^2)))</f>
        <v>1.048</v>
      </c>
      <c r="U186" s="39">
        <v>865</v>
      </c>
      <c r="V186" s="40">
        <f>IF(H186="x",75+U186,IF(M186&lt;6.66,150+U186,-1.7384*M186^2+92.38*M186-388+U186))</f>
        <v>1138.51385144</v>
      </c>
      <c r="W186" s="5"/>
      <c r="X186" s="5"/>
      <c r="Y186" s="5"/>
      <c r="Z186" s="5"/>
      <c r="AA186" s="5"/>
      <c r="AB186" s="5"/>
      <c r="AC186" s="5">
        <v>13.82</v>
      </c>
      <c r="AD186" s="33">
        <v>47.75</v>
      </c>
      <c r="AE186" s="5">
        <f>IF(AD186=0,(W186+4*X186+2*Y186+4*Z186+AA186)*AC186/12+W186*AB186/1.5,AD186)</f>
        <v>47.75</v>
      </c>
      <c r="AF186" s="11">
        <v>14.7</v>
      </c>
      <c r="AG186" s="11">
        <v>0.5</v>
      </c>
      <c r="AH186" s="5">
        <f>IF(AC186=0,AE186+AF186*AG186/2,AE186+AC186*AG186/2)</f>
        <v>51.205</v>
      </c>
      <c r="AI186" s="3"/>
      <c r="AJ186" s="3"/>
      <c r="AK186" s="33">
        <v>14.99</v>
      </c>
      <c r="AL186" s="5">
        <f>IF(AK186=0,AI186*AJ186/2,AK186)</f>
        <v>14.99</v>
      </c>
      <c r="AM186" s="3"/>
      <c r="AN186" s="5"/>
      <c r="AO186" s="5"/>
      <c r="AP186" s="5">
        <f>AL186+AI186*(AN186-AO186)/2</f>
        <v>14.99</v>
      </c>
      <c r="AQ186" s="5">
        <f>0.1*(AE186+AL186)</f>
        <v>6.274000000000001</v>
      </c>
      <c r="AR186" s="11">
        <v>14.7</v>
      </c>
      <c r="AS186" s="11"/>
      <c r="AT186" s="11"/>
      <c r="AU186" s="11"/>
      <c r="AV186" s="33">
        <v>65</v>
      </c>
      <c r="AW186" s="5">
        <f>IF(AV186=0,AS186/6*(AT186+AU186*4),AV186)</f>
        <v>65</v>
      </c>
      <c r="AX186" s="11">
        <v>1.6</v>
      </c>
      <c r="AY186" s="5">
        <f>IF(AX186&lt;0.149*M186+0.329,1,AX186/(0.149*M186+0.329))</f>
        <v>1.000018750351569</v>
      </c>
      <c r="AZ186" s="5">
        <f>IF(AW186*AY186&gt;AL186,(AW186*AY186-AL186)/4,0)</f>
        <v>12.502804693213</v>
      </c>
      <c r="BA186" s="12">
        <f>0.401+0.1831*(2*AR186^2/(AH186+AP186+AZ186))-0.02016*(2*AR186^2/(AH186+AP186+AZ186))^2+0.0007472*(2*AR186^2/(AH186+AP186+AZ186))^3</f>
        <v>0.9222811670938459</v>
      </c>
      <c r="BB186" s="3"/>
      <c r="BC186" s="3"/>
      <c r="BD186" s="3"/>
      <c r="BE186" s="3"/>
      <c r="BF186" s="33"/>
      <c r="BG186" s="3"/>
      <c r="BH186" s="5">
        <f>IF(BG186*AY186&gt;AL186+AZ186,BG186*AY186-AL186-AZ186,0)</f>
        <v>0</v>
      </c>
      <c r="BI186" s="5">
        <f>IF(M186/1.6&lt;8,ROUND(M186/1.6,0),8)</f>
        <v>5</v>
      </c>
      <c r="BJ186" s="5">
        <f>(AH186+AP186+AZ186)*BA186+0.1*BH186</f>
        <v>72.58150316018002</v>
      </c>
      <c r="BK186" s="11">
        <v>1.22</v>
      </c>
      <c r="BL186" s="5">
        <f>M186*0.2</f>
        <v>1.706</v>
      </c>
      <c r="BM186" s="5">
        <f>ROUNDDOWN(M186/2.13,0)</f>
        <v>4</v>
      </c>
      <c r="BN186" s="12">
        <f>M186/4.26</f>
        <v>2.002347417840376</v>
      </c>
      <c r="BO186" s="5">
        <f>IF(M186&lt;8,1.22,IF(M186&lt;15.2,0.108333*M186+0.353,2))</f>
        <v>1.27708049</v>
      </c>
      <c r="BP186" s="12">
        <f>IF(BK186&lt;BO186,1+0.3*(BO186-BK186)/M186,1)</f>
        <v>1.002007520164127</v>
      </c>
      <c r="BQ186" s="32"/>
      <c r="BR186" s="39">
        <v>0</v>
      </c>
      <c r="BS186" t="s" s="24">
        <v>154</v>
      </c>
      <c r="BT186" s="36"/>
      <c r="BU186" s="36"/>
      <c r="BV186" s="5">
        <f>IF(BQ186&lt;(M186/0.3048)^0.5,1,IF(BU186="x",1-BR186*0.02,IF(BT186="x",1-BR186*0.01,1)))</f>
        <v>1</v>
      </c>
      <c r="BW186" s="12">
        <f>IF(K186="x",MIN(1.315,1.28+U186*N186/BJ186/AR186/1100),IF(L186="x",1.28,MAX(1.245,1.28-U186*N186/BJ186/AR186/1100)))</f>
        <v>1.273713207005598</v>
      </c>
      <c r="BX186" s="41">
        <f>BW186*T186*BV186*BP186*N186^0.3*BJ186^0.4/V186^0.325</f>
        <v>1.434197808804471</v>
      </c>
      <c r="BY186" s="29"/>
      <c r="BZ186" s="29"/>
      <c r="CA186" t="s" s="19">
        <v>162</v>
      </c>
      <c r="CB186" t="s" s="19">
        <v>163</v>
      </c>
      <c r="CC186" t="s" s="19">
        <v>254</v>
      </c>
      <c r="CD186" t="s" s="19">
        <v>340</v>
      </c>
      <c r="CE186" s="3"/>
      <c r="CF186" s="3"/>
      <c r="CG186" t="s" s="30">
        <f>A186</f>
        <v>1229</v>
      </c>
    </row>
    <row r="187" ht="12.75" customHeight="1">
      <c r="A187" t="s" s="25">
        <v>1230</v>
      </c>
      <c r="B187" t="s" s="19">
        <v>192</v>
      </c>
      <c r="C187" t="s" s="19">
        <v>193</v>
      </c>
      <c r="D187" t="s" s="19">
        <v>193</v>
      </c>
      <c r="E187" t="s" s="19">
        <v>1231</v>
      </c>
      <c r="F187" t="s" s="19">
        <v>1232</v>
      </c>
      <c r="G187" t="s" s="19">
        <v>1233</v>
      </c>
      <c r="H187" s="32"/>
      <c r="I187" s="32"/>
      <c r="J187" s="36"/>
      <c r="K187" t="s" s="24">
        <v>154</v>
      </c>
      <c r="L187" s="36"/>
      <c r="M187" s="11">
        <v>9.199999999999999</v>
      </c>
      <c r="N187" s="5">
        <v>9.199999999999999</v>
      </c>
      <c r="O187" s="11">
        <v>7.8</v>
      </c>
      <c r="P187" s="11"/>
      <c r="Q187" s="37"/>
      <c r="R187" t="s" s="24">
        <v>197</v>
      </c>
      <c r="S187" s="36"/>
      <c r="T187" s="38">
        <f>IF(S187&gt;0,1.048,IF(R187&gt;0,1.048,IF(Q187&gt;0,1.036,0.907+1.55*(P187/N187)-4.449*(P187/N187)^2)))</f>
        <v>1.048</v>
      </c>
      <c r="U187" s="39">
        <v>1900</v>
      </c>
      <c r="V187" s="40">
        <f>IF(H187="x",75+U187,IF(M187&lt;6.66,150+U187,-1.7384*M187^2+92.38*M187-388+U187))</f>
        <v>2214.757824</v>
      </c>
      <c r="W187" s="5"/>
      <c r="X187" s="5"/>
      <c r="Y187" s="5"/>
      <c r="Z187" s="5"/>
      <c r="AA187" s="5"/>
      <c r="AB187" s="5"/>
      <c r="AC187" s="5"/>
      <c r="AD187" s="33">
        <v>43</v>
      </c>
      <c r="AE187" s="5">
        <f>IF(AD187=0,(W187+4*X187+2*Y187+4*Z187+AA187)*AC187/12+W187*AB187/1.5,AD187)</f>
        <v>43</v>
      </c>
      <c r="AF187" s="11">
        <v>14.6</v>
      </c>
      <c r="AG187" s="11"/>
      <c r="AH187" s="5">
        <f>IF(AC187=0,AE187+AF187*AG187/2,AE187+AC187*AG187/2)</f>
        <v>43</v>
      </c>
      <c r="AI187" s="3"/>
      <c r="AJ187" s="3"/>
      <c r="AK187" s="33">
        <v>24.5</v>
      </c>
      <c r="AL187" s="5">
        <f>IF(AK187=0,AI187*AJ187/2,AK187)</f>
        <v>24.5</v>
      </c>
      <c r="AM187" s="3"/>
      <c r="AN187" s="5"/>
      <c r="AO187" s="5">
        <v>0.04</v>
      </c>
      <c r="AP187" s="5">
        <f>AL187+AI187*(AN187-AO187)/2</f>
        <v>24.5</v>
      </c>
      <c r="AQ187" s="5">
        <f>0.1*(AE187+AL187)</f>
        <v>6.75</v>
      </c>
      <c r="AR187" s="11">
        <v>14.6</v>
      </c>
      <c r="AS187" s="11"/>
      <c r="AT187" s="11"/>
      <c r="AU187" s="11"/>
      <c r="AV187" s="33">
        <v>74</v>
      </c>
      <c r="AW187" s="5">
        <f>IF(AV187=0,AS187/6*(AT187+AU187*4),AV187)</f>
        <v>74</v>
      </c>
      <c r="AX187" s="11">
        <v>1.3</v>
      </c>
      <c r="AY187" s="5">
        <f>IF(AX187&lt;0.149*M187+0.329,1,AX187/(0.149*M187+0.329))</f>
        <v>1</v>
      </c>
      <c r="AZ187" s="5">
        <f>IF(AW187*AY187&gt;AL187,(AW187*AY187-AL187)/4,0)</f>
        <v>12.375</v>
      </c>
      <c r="BA187" s="12">
        <f>0.401+0.1831*(2*AR187^2/(AH187+AP187+AZ187))-0.02016*(2*AR187^2/(AH187+AP187+AZ187))^2+0.0007472*(2*AR187^2/(AH187+AP187+AZ187))^3</f>
        <v>0.9175736925603553</v>
      </c>
      <c r="BB187" s="3"/>
      <c r="BC187" s="3"/>
      <c r="BD187" s="3"/>
      <c r="BE187" s="3"/>
      <c r="BF187" s="33">
        <v>90</v>
      </c>
      <c r="BG187" s="5">
        <f>IF(BF187=0,(BC187+BD187)*(BB187/12+BE187/3),BF187)</f>
        <v>90</v>
      </c>
      <c r="BH187" s="5">
        <f>IF(BG187*AY187&gt;AL187+AZ187,BG187*AY187-AL187-AZ187,0)</f>
        <v>53.125</v>
      </c>
      <c r="BI187" s="5">
        <f>IF(M187/1.6&lt;8,ROUND(M187/1.6,0),8)</f>
        <v>6</v>
      </c>
      <c r="BJ187" s="5">
        <f>(AH187+AP187+AZ187)*BA187+0.1*BH187</f>
        <v>78.60369869325838</v>
      </c>
      <c r="BK187" s="11">
        <v>1.8</v>
      </c>
      <c r="BL187" s="5">
        <f>M187*0.2</f>
        <v>1.84</v>
      </c>
      <c r="BM187" s="5">
        <f>ROUNDDOWN(M187/2.13,0)</f>
        <v>4</v>
      </c>
      <c r="BN187" s="12">
        <f>M187/4.26</f>
        <v>2.15962441314554</v>
      </c>
      <c r="BO187" s="5">
        <f>IF(M187&lt;8,1.22,IF(M187&lt;15.2,0.108333*M187+0.353,2))</f>
        <v>1.3496636</v>
      </c>
      <c r="BP187" s="12">
        <f>IF(BK187&lt;BO187,1+0.3*(BO187-BK187)/M187,1)</f>
        <v>1</v>
      </c>
      <c r="BQ187" s="39">
        <v>7</v>
      </c>
      <c r="BR187" s="32"/>
      <c r="BS187" t="s" s="24">
        <v>154</v>
      </c>
      <c r="BT187" s="36"/>
      <c r="BU187" s="36"/>
      <c r="BV187" s="5">
        <f>IF(BQ187&lt;(M187/0.3048)^0.5,1,IF(BU187="x",1-BR187*0.02,IF(BT187="x",1-BR187*0.01,1)))</f>
        <v>1</v>
      </c>
      <c r="BW187" s="12">
        <f>IF(K187="x",MIN(1.315,1.28+U187*N187/BJ187/AR187/1100),IF(L187="x",1.28,MAX(1.245,1.28-U187*N187/BJ187/AR187/1100)))</f>
        <v>1.293846911137498</v>
      </c>
      <c r="BX187" s="41">
        <f>BW187*T187*BV187*BP187*N187^0.3*BJ187^0.4/V187^0.325</f>
        <v>1.236877495008708</v>
      </c>
      <c r="BY187" s="29"/>
      <c r="BZ187" s="29"/>
      <c r="CA187" t="s" s="19">
        <v>188</v>
      </c>
      <c r="CB187" t="s" s="19">
        <v>838</v>
      </c>
      <c r="CC187" t="s" s="19">
        <v>180</v>
      </c>
      <c r="CD187" t="s" s="19">
        <v>1234</v>
      </c>
      <c r="CE187" s="3"/>
      <c r="CF187" s="3"/>
      <c r="CG187" t="s" s="30">
        <f>A187</f>
        <v>1235</v>
      </c>
    </row>
    <row r="188" ht="12.75" customHeight="1">
      <c r="A188" t="s" s="25">
        <v>1236</v>
      </c>
      <c r="B188" t="s" s="19">
        <v>898</v>
      </c>
      <c r="C188" t="s" s="19">
        <v>899</v>
      </c>
      <c r="D188" t="s" s="19">
        <v>900</v>
      </c>
      <c r="E188" t="s" s="19">
        <v>1237</v>
      </c>
      <c r="F188" t="s" s="19">
        <v>1238</v>
      </c>
      <c r="G188" s="3"/>
      <c r="H188" s="32"/>
      <c r="I188" s="32"/>
      <c r="J188" s="36"/>
      <c r="K188" t="s" s="24">
        <v>154</v>
      </c>
      <c r="L188" s="36"/>
      <c r="M188" s="11">
        <v>6.72</v>
      </c>
      <c r="N188" s="5">
        <v>6.67</v>
      </c>
      <c r="O188" s="11">
        <v>4.8</v>
      </c>
      <c r="P188" s="11"/>
      <c r="Q188" t="s" s="24">
        <v>903</v>
      </c>
      <c r="R188" s="36"/>
      <c r="S188" s="36"/>
      <c r="T188" s="38">
        <f>IF(S188&gt;0,1.048,IF(R188&gt;0,1.048,IF(Q188&gt;0,1.036,0.907+1.55*(P188/N188)-4.449*(P188/N188)^2)))</f>
        <v>1.036</v>
      </c>
      <c r="U188" s="39">
        <v>465</v>
      </c>
      <c r="V188" s="40">
        <f>IF(H188="x",75+U188,IF(M188&lt;6.66,150+U188,-1.7384*M188^2+92.38*M188-388+U188))</f>
        <v>619.2902374399999</v>
      </c>
      <c r="W188" s="5"/>
      <c r="X188" s="5"/>
      <c r="Y188" s="5"/>
      <c r="Z188" s="5"/>
      <c r="AA188" s="5"/>
      <c r="AB188" s="5"/>
      <c r="AC188" s="5">
        <v>9.140000000000001</v>
      </c>
      <c r="AD188" s="33">
        <v>20.48</v>
      </c>
      <c r="AE188" s="5">
        <f>IF(AD188=0,(W188+4*X188+2*Y188+4*Z188+AA188)*AC188/12+W188*AB188/1.5,AD188)</f>
        <v>20.48</v>
      </c>
      <c r="AF188" s="11">
        <v>10</v>
      </c>
      <c r="AG188" s="11">
        <v>0.37</v>
      </c>
      <c r="AH188" s="5">
        <f>IF(AC188=0,AE188+AF188*AG188/2,AE188+AC188*AG188/2)</f>
        <v>22.1709</v>
      </c>
      <c r="AI188" s="5">
        <v>8.5</v>
      </c>
      <c r="AJ188" s="3"/>
      <c r="AK188" s="33">
        <v>8.42</v>
      </c>
      <c r="AL188" s="5">
        <f>IF(AK188=0,AI188*AJ188/2,AK188)</f>
        <v>8.42</v>
      </c>
      <c r="AM188" t="s" s="19">
        <v>154</v>
      </c>
      <c r="AN188" s="5"/>
      <c r="AO188" s="5"/>
      <c r="AP188" s="5">
        <f>AL188+AI188*(AN188-AO188)/2</f>
        <v>8.42</v>
      </c>
      <c r="AQ188" s="5">
        <f>0.1*(AE188+AL188)</f>
        <v>2.89</v>
      </c>
      <c r="AR188" s="11">
        <v>10.04</v>
      </c>
      <c r="AS188" s="11"/>
      <c r="AT188" s="11"/>
      <c r="AU188" s="11"/>
      <c r="AV188" s="33">
        <v>20.3</v>
      </c>
      <c r="AW188" s="5">
        <f>IF(AV188=0,AS188/6*(AT188+AU188*4),AV188)</f>
        <v>20.3</v>
      </c>
      <c r="AX188" s="11">
        <v>0</v>
      </c>
      <c r="AY188" s="5">
        <f>IF(AX188&lt;0.149*M188+0.329,1,AX188/(0.149*M188+0.329))</f>
        <v>1</v>
      </c>
      <c r="AZ188" s="5">
        <f>IF(AW188*AY188&gt;AL188,(AW188*AY188-AL188)/4,0)</f>
        <v>2.97</v>
      </c>
      <c r="BA188" s="12">
        <f>0.401+0.1831*(2*AR188^2/(AH188+AP188+AZ188))-0.02016*(2*AR188^2/(AH188+AP188+AZ188))^2+0.0007472*(2*AR188^2/(AH188+AP188+AZ188))^3</f>
        <v>0.9353898798635334</v>
      </c>
      <c r="BB188" s="3"/>
      <c r="BC188" s="3"/>
      <c r="BD188" s="3"/>
      <c r="BE188" s="3"/>
      <c r="BF188" s="33"/>
      <c r="BG188" s="5">
        <f>IF(BF188=0,(BC188+BD188)*(BB188/12+BE188/3),BF188)</f>
        <v>0</v>
      </c>
      <c r="BH188" s="5">
        <f>IF(BG188*AY188&gt;AL188+AZ188,BG188*AY188-AL188-AZ188,0)</f>
        <v>0</v>
      </c>
      <c r="BI188" s="5">
        <f>IF(M188/1.6&lt;8,ROUND(M188/1.6,0),8)</f>
        <v>4</v>
      </c>
      <c r="BJ188" s="5">
        <f>(AH188+AP188+AZ188)*BA188+0.1*BH188</f>
        <v>31.39252621911205</v>
      </c>
      <c r="BK188" s="11">
        <v>1.02</v>
      </c>
      <c r="BL188" s="5">
        <f>M188*0.2</f>
        <v>1.344</v>
      </c>
      <c r="BM188" s="5">
        <f>ROUNDDOWN(M188/2.13,0)</f>
        <v>3</v>
      </c>
      <c r="BN188" s="12">
        <f>M188/4.26</f>
        <v>1.577464788732394</v>
      </c>
      <c r="BO188" s="5">
        <f>IF(M188&lt;8,1.22,IF(M188&lt;15.2,0.108333*M188+0.353,2))</f>
        <v>1.22</v>
      </c>
      <c r="BP188" s="12">
        <f>IF(BK188&lt;BO188,1+0.3*(BO188-BK188)/M188,1)</f>
        <v>1.008928571428571</v>
      </c>
      <c r="BQ188" s="32"/>
      <c r="BR188" s="32"/>
      <c r="BS188" t="s" s="24">
        <v>154</v>
      </c>
      <c r="BT188" s="36"/>
      <c r="BU188" s="36"/>
      <c r="BV188" s="5">
        <f>IF(BQ188&lt;(M188/0.3048)^0.5,1,IF(BU188="x",1-BR188*0.02,IF(BT188="x",1-BR188*0.01,1)))</f>
        <v>1</v>
      </c>
      <c r="BW188" s="12">
        <f>IF(K188="x",MIN(1.315,1.28+U188*N188/BJ188/AR188/1100),IF(L188="x",1.28,MAX(1.245,1.28-U188*N188/BJ188/AR188/1100)))</f>
        <v>1.288945942927857</v>
      </c>
      <c r="BX188" s="41">
        <f>BW188*T188*BV188*BP188*N188^0.3*BJ188^0.4/V188^0.325</f>
        <v>1.169654269795939</v>
      </c>
      <c r="BY188" s="29"/>
      <c r="BZ188" s="29"/>
      <c r="CA188" t="s" s="19">
        <v>188</v>
      </c>
      <c r="CB188" t="s" s="19">
        <v>1239</v>
      </c>
      <c r="CC188" t="s" s="19">
        <v>905</v>
      </c>
      <c r="CD188" s="3"/>
      <c r="CE188" s="3"/>
      <c r="CF188" s="3"/>
      <c r="CG188" t="s" s="30">
        <f>A188</f>
        <v>1240</v>
      </c>
    </row>
    <row r="189" ht="12.75" customHeight="1">
      <c r="A189" t="s" s="25">
        <v>1241</v>
      </c>
      <c r="B189" t="s" s="19">
        <v>178</v>
      </c>
      <c r="C189" t="s" s="19">
        <v>344</v>
      </c>
      <c r="D189" t="s" s="19">
        <v>345</v>
      </c>
      <c r="E189" t="s" s="19">
        <v>643</v>
      </c>
      <c r="F189" s="3"/>
      <c r="G189" t="s" s="19">
        <v>1242</v>
      </c>
      <c r="H189" s="32"/>
      <c r="I189" s="32"/>
      <c r="J189" s="36"/>
      <c r="K189" t="s" s="24">
        <v>154</v>
      </c>
      <c r="L189" s="36"/>
      <c r="M189" s="11">
        <v>7.3</v>
      </c>
      <c r="N189" s="5">
        <v>7.25</v>
      </c>
      <c r="O189" s="11">
        <v>5.5</v>
      </c>
      <c r="P189" s="11"/>
      <c r="Q189" s="37"/>
      <c r="R189" t="s" s="24">
        <v>534</v>
      </c>
      <c r="S189" s="36"/>
      <c r="T189" s="38">
        <f>IF(S189&gt;0,1.048,IF(R189&gt;0,1.048,IF(Q189&gt;0,1.036,0.907+1.55*(P189/N189)-4.449*(P189/N189)^2)))</f>
        <v>1.048</v>
      </c>
      <c r="U189" s="39">
        <v>920</v>
      </c>
      <c r="V189" s="40">
        <f>IF(H189="x",75+U189,IF(M189&lt;6.66,150+U189,-1.7384*M189^2+92.38*M189-388+U189))</f>
        <v>1113.734664</v>
      </c>
      <c r="W189" s="5"/>
      <c r="X189" s="5"/>
      <c r="Y189" s="5"/>
      <c r="Z189" s="5"/>
      <c r="AA189" s="5"/>
      <c r="AB189" s="5"/>
      <c r="AC189" s="5">
        <v>9</v>
      </c>
      <c r="AD189" s="33">
        <v>22.5</v>
      </c>
      <c r="AE189" s="5">
        <f>IF(AD189=0,(W189+4*X189+2*Y189+4*Z189+AA189)*AC189/12+W189*AB189/1.5,AD189)</f>
        <v>22.5</v>
      </c>
      <c r="AF189" s="11">
        <v>12.5</v>
      </c>
      <c r="AG189" s="11">
        <v>0.496</v>
      </c>
      <c r="AH189" s="5">
        <f>IF(AC189=0,AE189+AF189*AG189/2,AE189+AC189*AG189/2)</f>
        <v>24.732</v>
      </c>
      <c r="AI189" s="3"/>
      <c r="AJ189" s="3"/>
      <c r="AK189" s="33">
        <v>11.3</v>
      </c>
      <c r="AL189" s="5">
        <f>IF(AK189=0,AI189*AJ189/2,AK189)</f>
        <v>11.3</v>
      </c>
      <c r="AM189" s="3"/>
      <c r="AN189" s="5"/>
      <c r="AO189" s="5"/>
      <c r="AP189" s="5">
        <f>AL189+AI189*(AN189-AO189)/2</f>
        <v>11.3</v>
      </c>
      <c r="AQ189" s="5">
        <f>0.1*(AE189+AL189)</f>
        <v>3.38</v>
      </c>
      <c r="AR189" s="11">
        <v>10</v>
      </c>
      <c r="AS189" s="11"/>
      <c r="AT189" s="11"/>
      <c r="AU189" s="11"/>
      <c r="AV189" s="33">
        <v>22.5</v>
      </c>
      <c r="AW189" s="5">
        <f>IF(AV189=0,AS189/6*(AT189+AU189*4),AV189)</f>
        <v>22.5</v>
      </c>
      <c r="AX189" s="11">
        <v>1.35</v>
      </c>
      <c r="AY189" s="5">
        <f>IF(AX189&lt;0.149*M189+0.329,1,AX189/(0.149*M189+0.329))</f>
        <v>1</v>
      </c>
      <c r="AZ189" s="5">
        <f>IF(AW189*AY189&gt;AL189,(AW189*AY189-AL189)/4,0)</f>
        <v>2.8</v>
      </c>
      <c r="BA189" s="12">
        <f>0.401+0.1831*(2*AR189^2/(AH189+AP189+AZ189))-0.02016*(2*AR189^2/(AH189+AP189+AZ189))^2+0.0007472*(2*AR189^2/(AH189+AP189+AZ189))^3</f>
        <v>0.9113457632711444</v>
      </c>
      <c r="BB189" s="3"/>
      <c r="BC189" s="3"/>
      <c r="BD189" s="3"/>
      <c r="BE189" s="3"/>
      <c r="BF189" s="33">
        <v>53</v>
      </c>
      <c r="BG189" s="5">
        <f>IF(BF189=0,(BC189+BD189)*(BB189/12+BE189/3),BF189)</f>
        <v>53</v>
      </c>
      <c r="BH189" s="5">
        <f>IF(BG189*AY189&gt;AL189+AZ189,BG189*AY189-AL189-AZ189,0)</f>
        <v>38.90000000000001</v>
      </c>
      <c r="BI189" s="5">
        <f>IF(M189/1.6&lt;8,ROUND(M189/1.6,0),8)</f>
        <v>5</v>
      </c>
      <c r="BJ189" s="5">
        <f>(AH189+AP189+AZ189)*BA189+0.1*BH189</f>
        <v>39.27937867934507</v>
      </c>
      <c r="BK189" s="11">
        <v>1.54</v>
      </c>
      <c r="BL189" s="5">
        <f>M189*0.2</f>
        <v>1.46</v>
      </c>
      <c r="BM189" s="5">
        <f>ROUNDDOWN(M189/2.13,0)</f>
        <v>3</v>
      </c>
      <c r="BN189" s="12">
        <f>M189/4.26</f>
        <v>1.713615023474178</v>
      </c>
      <c r="BO189" s="5">
        <f>IF(M189&lt;8,1.22,IF(M189&lt;15.2,0.108333*M189+0.353,2))</f>
        <v>1.22</v>
      </c>
      <c r="BP189" s="12">
        <f>IF(BK189&lt;BO189,1+0.3*(BO189-BK189)/M189,1)</f>
        <v>1</v>
      </c>
      <c r="BQ189" s="32"/>
      <c r="BR189" s="39">
        <v>0</v>
      </c>
      <c r="BS189" t="s" s="24">
        <v>154</v>
      </c>
      <c r="BT189" s="36"/>
      <c r="BU189" s="36"/>
      <c r="BV189" s="5">
        <f>IF(BQ189&lt;(M189/0.3048)^0.5,1,IF(BU189="x",1-BR189*0.02,IF(BT189="x",1-BR189*0.01,1)))</f>
        <v>1</v>
      </c>
      <c r="BW189" s="12">
        <f>IF(K189="x",MIN(1.315,1.28+U189*N189/BJ189/AR189/1100),IF(L189="x",1.28,MAX(1.245,1.28-U189*N189/BJ189/AR189/1100)))</f>
        <v>1.29543720030079</v>
      </c>
      <c r="BX189" s="41">
        <f>BW189*T189*BV189*BP189*N189^0.3*BJ189^0.4/V189^0.325</f>
        <v>1.092297219667528</v>
      </c>
      <c r="BY189" s="29"/>
      <c r="BZ189" s="29"/>
      <c r="CA189" t="s" s="19">
        <v>162</v>
      </c>
      <c r="CB189" t="s" s="19">
        <v>603</v>
      </c>
      <c r="CC189" t="s" s="19">
        <v>92</v>
      </c>
      <c r="CD189" s="3"/>
      <c r="CE189" s="3"/>
      <c r="CF189" s="3"/>
      <c r="CG189" t="s" s="30">
        <f>A189</f>
        <v>1243</v>
      </c>
    </row>
    <row r="190" ht="12.75" customHeight="1">
      <c r="A190" t="s" s="25">
        <v>1244</v>
      </c>
      <c r="B190" t="s" s="19">
        <v>1245</v>
      </c>
      <c r="C190" t="s" s="19">
        <v>1220</v>
      </c>
      <c r="D190" t="s" s="19">
        <v>1221</v>
      </c>
      <c r="E190" t="s" s="19">
        <v>1246</v>
      </c>
      <c r="F190" s="3"/>
      <c r="G190" s="3"/>
      <c r="H190" s="32"/>
      <c r="I190" s="32"/>
      <c r="J190" t="s" s="24">
        <v>154</v>
      </c>
      <c r="K190" s="36"/>
      <c r="L190" s="36"/>
      <c r="M190" s="11">
        <v>8.529999999999999</v>
      </c>
      <c r="N190" s="5">
        <v>8.529999999999999</v>
      </c>
      <c r="O190" s="11"/>
      <c r="P190" s="11"/>
      <c r="Q190" s="37"/>
      <c r="R190" t="s" s="24">
        <v>161</v>
      </c>
      <c r="S190" s="36"/>
      <c r="T190" s="38">
        <f>IF(S190&gt;0,1.048,IF(R190&gt;0,1.048,IF(Q190&gt;0,1.036,0.907+1.55*(P190/N190)-4.449*(P190/N190)^2)))</f>
        <v>1.048</v>
      </c>
      <c r="U190" s="39">
        <v>850</v>
      </c>
      <c r="V190" s="40">
        <f>IF(H190="x",75+U190,IF(M190&lt;6.66,150+U190,-1.7384*M190^2+92.38*M190-388+U190))</f>
        <v>1123.51385144</v>
      </c>
      <c r="W190" s="5"/>
      <c r="X190" s="5"/>
      <c r="Y190" s="5"/>
      <c r="Z190" s="5"/>
      <c r="AA190" s="5"/>
      <c r="AB190" s="5"/>
      <c r="AC190" s="5"/>
      <c r="AD190" s="33">
        <v>51.86</v>
      </c>
      <c r="AE190" s="5">
        <f>IF(AD190=0,(W190+4*X190+2*Y190+4*Z190+AA190)*AC190/12+W190*AB190/1.5,AD190)</f>
        <v>51.86</v>
      </c>
      <c r="AF190" s="11">
        <v>14.7</v>
      </c>
      <c r="AG190" s="11"/>
      <c r="AH190" s="5">
        <f>IF(AC190=0,AE190+AF190*AG190/2,AE190+AC190*AG190/2)</f>
        <v>51.86</v>
      </c>
      <c r="AI190" s="3"/>
      <c r="AJ190" s="3"/>
      <c r="AK190" s="33">
        <v>14.81</v>
      </c>
      <c r="AL190" s="5">
        <f>IF(AK190=0,AI190*AJ190/2,AK190)</f>
        <v>14.81</v>
      </c>
      <c r="AM190" s="3"/>
      <c r="AN190" s="5"/>
      <c r="AO190" s="5"/>
      <c r="AP190" s="5">
        <f>AL190+AI190*(AN190-AO190)/2</f>
        <v>14.81</v>
      </c>
      <c r="AQ190" s="5">
        <f>0.1*(AE190+AL190)</f>
        <v>6.667000000000001</v>
      </c>
      <c r="AR190" s="11">
        <v>14.7</v>
      </c>
      <c r="AS190" s="11"/>
      <c r="AT190" s="11"/>
      <c r="AU190" s="11"/>
      <c r="AV190" s="33">
        <v>65</v>
      </c>
      <c r="AW190" s="5">
        <f>IF(AV190=0,AS190/6*(AT190+AU190*4),AV190)</f>
        <v>65</v>
      </c>
      <c r="AX190" s="11">
        <v>1.6</v>
      </c>
      <c r="AY190" s="5">
        <f>IF(AX190&lt;0.149*M190+0.329,1,AX190/(0.149*M190+0.329))</f>
        <v>1.000018750351569</v>
      </c>
      <c r="AZ190" s="5">
        <f>IF(AW190*AY190&gt;AL190,(AW190*AY190-AL190)/4,0)</f>
        <v>12.547804693213</v>
      </c>
      <c r="BA190" s="12">
        <f>0.401+0.1831*(2*AR190^2/(AH190+AP190+AZ190))-0.02016*(2*AR190^2/(AH190+AP190+AZ190))^2+0.0007472*(2*AR190^2/(AH190+AP190+AZ190))^3</f>
        <v>0.9212154606212919</v>
      </c>
      <c r="BB190" s="3"/>
      <c r="BC190" s="3"/>
      <c r="BD190" s="3"/>
      <c r="BE190" s="3"/>
      <c r="BF190" s="33"/>
      <c r="BG190" s="3"/>
      <c r="BH190" s="5">
        <f>IF(BG190*AY190&gt;AL190+AZ190,BG190*AY190-AL190-AZ190,0)</f>
        <v>0</v>
      </c>
      <c r="BI190" s="5">
        <f>IF(M190/1.6&lt;8,ROUND(M190/1.6,0),8)</f>
        <v>5</v>
      </c>
      <c r="BJ190" s="5">
        <f>(AH190+AP190+AZ190)*BA190+0.1*BH190</f>
        <v>72.97666643986575</v>
      </c>
      <c r="BK190" s="11">
        <v>1.22</v>
      </c>
      <c r="BL190" s="5">
        <f>M190*0.2</f>
        <v>1.706</v>
      </c>
      <c r="BM190" s="5">
        <f>ROUNDDOWN(M190/2.13,0)</f>
        <v>4</v>
      </c>
      <c r="BN190" s="12">
        <f>M190/4.26</f>
        <v>2.002347417840376</v>
      </c>
      <c r="BO190" s="5">
        <f>IF(M190&lt;8,1.22,IF(M190&lt;15.2,0.108333*M190+0.353,2))</f>
        <v>1.27708049</v>
      </c>
      <c r="BP190" s="12">
        <f>IF(BK190&lt;BO190,1+0.3*(BO190-BK190)/M190,1)</f>
        <v>1.002007520164127</v>
      </c>
      <c r="BQ190" s="32"/>
      <c r="BR190" s="39">
        <v>0</v>
      </c>
      <c r="BS190" t="s" s="24">
        <v>154</v>
      </c>
      <c r="BT190" s="36"/>
      <c r="BU190" s="36"/>
      <c r="BV190" s="5">
        <f>IF(BQ190&lt;(M190/0.3048)^0.5,1,IF(BU190="x",1-BR190*0.02,IF(BT190="x",1-BR190*0.01,1)))</f>
        <v>1</v>
      </c>
      <c r="BW190" s="12">
        <f>IF(K190="x",MIN(1.315,1.28+U190*N190/BJ190/AR190/1100),IF(L190="x",1.28,MAX(1.245,1.28-U190*N190/BJ190/AR190/1100)))</f>
        <v>1.273855678726078</v>
      </c>
      <c r="BX190" s="41">
        <f>BW190*T190*BV190*BP190*N190^0.3*BJ190^0.4/V190^0.325</f>
        <v>1.443686245195315</v>
      </c>
      <c r="BY190" s="29"/>
      <c r="BZ190" s="29"/>
      <c r="CA190" t="s" s="19">
        <v>162</v>
      </c>
      <c r="CB190" t="s" s="19">
        <v>393</v>
      </c>
      <c r="CC190" t="s" s="19">
        <v>254</v>
      </c>
      <c r="CD190" t="s" s="19">
        <v>340</v>
      </c>
      <c r="CE190" s="3"/>
      <c r="CF190" s="3"/>
      <c r="CG190" t="s" s="30">
        <f>A190</f>
        <v>1247</v>
      </c>
    </row>
    <row r="191" ht="12.75" customHeight="1">
      <c r="A191" t="s" s="30">
        <v>1248</v>
      </c>
      <c r="B191" t="s" s="31">
        <v>1249</v>
      </c>
      <c r="C191" t="s" s="19">
        <v>1250</v>
      </c>
      <c r="D191" t="s" s="19">
        <v>1251</v>
      </c>
      <c r="E191" t="s" s="19">
        <v>1252</v>
      </c>
      <c r="F191" s="4"/>
      <c r="G191" s="4"/>
      <c r="H191" s="32"/>
      <c r="I191" s="32"/>
      <c r="J191" s="32"/>
      <c r="K191" t="s" s="20">
        <v>154</v>
      </c>
      <c r="L191" s="32"/>
      <c r="M191" s="11">
        <v>13.71</v>
      </c>
      <c r="N191" s="15">
        <v>13.57</v>
      </c>
      <c r="O191" s="11">
        <v>9.5</v>
      </c>
      <c r="P191" s="11"/>
      <c r="Q191" s="11"/>
      <c r="R191" t="s" s="20">
        <v>1253</v>
      </c>
      <c r="S191" s="32"/>
      <c r="T191" s="38">
        <f>IF(S191&gt;0,1.048,IF(R191&gt;0,1.048,IF(Q191&gt;0,1.036,0.907+1.55*(P191/N191)-4.449*(P191/N191)^2)))</f>
        <v>1.048</v>
      </c>
      <c r="U191" s="39">
        <v>4400</v>
      </c>
      <c r="V191" s="45">
        <f>IF(H191="x",75+U191,IF(M191&lt;6.66,150+U191,-1.7384*M191^2+92.38*M191-388+U191))</f>
        <v>4951.77300856</v>
      </c>
      <c r="W191" s="11"/>
      <c r="X191" s="11"/>
      <c r="Y191" s="11"/>
      <c r="Z191" s="11"/>
      <c r="AA191" s="11"/>
      <c r="AB191" s="11"/>
      <c r="AC191" s="11"/>
      <c r="AD191" s="33">
        <v>55</v>
      </c>
      <c r="AE191" s="5">
        <f>IF(AD191=0,(W191+4*X191+2*Y191+4*Z191+AA191)*AC191/12+W191*AB191/1.5,AD191)</f>
        <v>55</v>
      </c>
      <c r="AF191" s="11">
        <v>16</v>
      </c>
      <c r="AG191" s="11"/>
      <c r="AH191" s="5">
        <f>IF(AC191=0,AE191+AF191*AG191/2,AE191+AC191*AG191/2)</f>
        <v>55</v>
      </c>
      <c r="AI191" s="11"/>
      <c r="AJ191" s="11"/>
      <c r="AK191" s="33">
        <v>45</v>
      </c>
      <c r="AL191" s="5">
        <f>IF(AK191=0,AI191*AJ191/2,AK191)</f>
        <v>45</v>
      </c>
      <c r="AM191" s="32"/>
      <c r="AN191" s="11"/>
      <c r="AO191" s="11"/>
      <c r="AP191" s="5">
        <f>AL191+AI191*(AN191-AO191)/2</f>
        <v>45</v>
      </c>
      <c r="AQ191" s="5">
        <f>0.1*(AE191+AL191)</f>
        <v>10</v>
      </c>
      <c r="AR191" s="11">
        <v>16.4</v>
      </c>
      <c r="AS191" s="11"/>
      <c r="AT191" s="11"/>
      <c r="AU191" s="11"/>
      <c r="AV191" s="33">
        <v>60</v>
      </c>
      <c r="AW191" s="5">
        <f>IF(AV191=0,AS191/6*(AT191+AU191*4),AV191)</f>
        <v>60</v>
      </c>
      <c r="AX191" s="11"/>
      <c r="AY191" s="5">
        <f>IF(AX191&lt;0.149*M191+0.329,1,AX191/(0.149*M191+0.329))</f>
        <v>1</v>
      </c>
      <c r="AZ191" s="5">
        <f>IF(AW191*AY191&gt;AL191,(AW191*AY191-AL191)/4,0)</f>
        <v>3.75</v>
      </c>
      <c r="BA191" s="12">
        <f>0.401+0.1831*(2*AR191^2/(AH191+AP191+AZ191))-0.02016*(2*AR191^2/(AH191+AP191+AZ191))^2+0.0007472*(2*AR191^2/(AH191+AP191+AZ191))^3</f>
        <v>0.9125353955103288</v>
      </c>
      <c r="BB191" s="11"/>
      <c r="BC191" s="11"/>
      <c r="BD191" s="11"/>
      <c r="BE191" s="11"/>
      <c r="BF191" s="33"/>
      <c r="BG191" s="5">
        <f>IF(BF191=0,(BC191+BD191)*(BB191/12+BE191/3),BF191)</f>
        <v>0</v>
      </c>
      <c r="BH191" s="5">
        <f>IF(BG191*AY191&gt;AL191+AZ191,BG191*AY191-AL191-AZ191,0)</f>
        <v>0</v>
      </c>
      <c r="BI191" s="42">
        <f>IF(M191/1.6&lt;8,ROUND(M191/1.6,0),8)</f>
        <v>8</v>
      </c>
      <c r="BJ191" s="15">
        <f>(AH191+AP191+AZ191)*BA191+0.1*BH191</f>
        <v>94.67554728419661</v>
      </c>
      <c r="BK191" s="11">
        <v>1.95</v>
      </c>
      <c r="BL191" s="5">
        <f>M191*0.2</f>
        <v>2.742</v>
      </c>
      <c r="BM191" s="5">
        <f>ROUNDDOWN(M191/2.13,0)</f>
        <v>6</v>
      </c>
      <c r="BN191" s="12">
        <f>M191/4.26</f>
        <v>3.21830985915493</v>
      </c>
      <c r="BO191" s="5">
        <f>IF(M191&lt;8,1.22,IF(M191&lt;15.2,0.108333*M191+0.353,2))</f>
        <v>1.83824543</v>
      </c>
      <c r="BP191" s="7">
        <f>IF(BK191&lt;BO191,1+0.3*(BO191-BK191)/M191,1)</f>
        <v>1</v>
      </c>
      <c r="BQ191" s="39">
        <v>6</v>
      </c>
      <c r="BR191" s="39">
        <v>1</v>
      </c>
      <c r="BS191" s="32"/>
      <c r="BT191" t="s" s="20">
        <v>154</v>
      </c>
      <c r="BU191" s="32"/>
      <c r="BV191" s="15">
        <f>IF(BQ191&lt;(M191/0.3048)^0.5,1,IF(BU191="x",1-BR191*0.02,IF(BT191="x",1-BR191*0.01,1)))</f>
        <v>1</v>
      </c>
      <c r="BW191" s="7">
        <f>IF(K191="x",MIN(1.315,1.28+U191*N191/BJ191/AR191/1100),IF(L191="x",1.28,MAX(1.245,1.28-U191*N191/BJ191/AR191/1100)))</f>
        <v>1.31495893282376</v>
      </c>
      <c r="BX191" s="41">
        <f>BW191*T191*BV191*BP191*N191^0.3*BJ191^0.4/V191^0.325</f>
        <v>1.171508164613763</v>
      </c>
      <c r="BY191" s="29"/>
      <c r="BZ191" s="29"/>
      <c r="CA191" t="s" s="31">
        <v>638</v>
      </c>
      <c r="CB191" t="s" s="31">
        <v>639</v>
      </c>
      <c r="CC191" t="s" s="13">
        <v>93</v>
      </c>
      <c r="CD191" t="s" s="19">
        <v>1254</v>
      </c>
      <c r="CE191" s="3"/>
      <c r="CF191" s="3"/>
      <c r="CG191" t="s" s="30">
        <f>A191</f>
        <v>1255</v>
      </c>
    </row>
    <row r="192" ht="12.75" customHeight="1">
      <c r="A192" t="s" s="25">
        <v>1256</v>
      </c>
      <c r="B192" t="s" s="19">
        <v>303</v>
      </c>
      <c r="C192" t="s" s="19">
        <v>304</v>
      </c>
      <c r="D192" t="s" s="19">
        <v>305</v>
      </c>
      <c r="E192" t="s" s="19">
        <v>1257</v>
      </c>
      <c r="F192" s="3"/>
      <c r="G192" s="3"/>
      <c r="H192" s="32"/>
      <c r="I192" s="32"/>
      <c r="J192" t="s" s="24">
        <v>154</v>
      </c>
      <c r="K192" s="36"/>
      <c r="L192" s="36"/>
      <c r="M192" s="11">
        <v>14.04</v>
      </c>
      <c r="N192" s="5">
        <v>14.04</v>
      </c>
      <c r="O192" s="11">
        <v>7.39</v>
      </c>
      <c r="P192" s="11">
        <v>1.3</v>
      </c>
      <c r="Q192" s="37"/>
      <c r="R192" s="36"/>
      <c r="S192" s="36"/>
      <c r="T192" s="38">
        <f>IF(S192&gt;0,1.048,IF(R192&gt;0,1.048,IF(Q192&gt;0,1.036,0.907+1.55*(P192/N192)-4.449*(P192/N192)^2)))</f>
        <v>1.012375514403292</v>
      </c>
      <c r="U192" s="39">
        <v>9500</v>
      </c>
      <c r="V192" s="40">
        <f>IF(H192="x",75+U192,IF(M192&lt;6.66,150+U192,-1.7384*M192^2+92.38*M192-388+U192))</f>
        <v>10066.33901056</v>
      </c>
      <c r="W192" s="5"/>
      <c r="X192" s="5"/>
      <c r="Y192" s="5"/>
      <c r="Z192" s="5"/>
      <c r="AA192" s="5"/>
      <c r="AB192" s="5"/>
      <c r="AC192" s="5"/>
      <c r="AD192" s="33">
        <v>72</v>
      </c>
      <c r="AE192" s="5">
        <f>IF(AD192=0,(W192+4*X192+2*Y192+4*Z192+AA192)*AC192/12+W192*AB192/1.5,AD192)</f>
        <v>72</v>
      </c>
      <c r="AF192" s="11"/>
      <c r="AG192" s="11"/>
      <c r="AH192" s="5">
        <f>IF(AC192=0,AE192+AF192*AG192/2,AE192+AC192*AG192/2)</f>
        <v>72</v>
      </c>
      <c r="AI192" s="3"/>
      <c r="AJ192" s="3"/>
      <c r="AK192" s="33">
        <v>51</v>
      </c>
      <c r="AL192" s="5">
        <f>IF(AK192=0,AI192*AJ192/2,AK192)</f>
        <v>51</v>
      </c>
      <c r="AM192" s="3"/>
      <c r="AN192" s="5"/>
      <c r="AO192" s="5"/>
      <c r="AP192" s="5">
        <f>AL192+AI192*(AN192-AO192)/2</f>
        <v>51</v>
      </c>
      <c r="AQ192" s="5">
        <f>0.1*(AE192+AL192)</f>
        <v>12.3</v>
      </c>
      <c r="AR192" s="11">
        <v>20.27</v>
      </c>
      <c r="AS192" s="11"/>
      <c r="AT192" s="11"/>
      <c r="AU192" s="11"/>
      <c r="AV192" s="33"/>
      <c r="AW192" s="5">
        <f>IF(AV192=0,AS192/6*(AT192+AU192*4),AV192)</f>
        <v>0</v>
      </c>
      <c r="AX192" s="11">
        <v>0</v>
      </c>
      <c r="AY192" s="5">
        <f>IF(AX192&lt;0.149*M192+0.329,1,AX192/(0.149*M192+0.329))</f>
        <v>1</v>
      </c>
      <c r="AZ192" s="5">
        <f>IF(AW192*AY192&gt;AL192,(AW192*AY192-AL192)/4,0)</f>
        <v>0</v>
      </c>
      <c r="BA192" s="12">
        <f>0.401+0.1831*(2*AR192^2/(AH192+AP192+AZ192))-0.02016*(2*AR192^2/(AH192+AP192+AZ192))^2+0.0007472*(2*AR192^2/(AH192+AP192+AZ192))^3</f>
        <v>0.9472558786915055</v>
      </c>
      <c r="BB192" s="3"/>
      <c r="BC192" s="3"/>
      <c r="BD192" s="3"/>
      <c r="BE192" s="3"/>
      <c r="BF192" s="33">
        <v>148</v>
      </c>
      <c r="BG192" s="5">
        <f>IF(BF192=0,(BC192+BD192)*(BB192/12+BE192/3),BF192)</f>
        <v>148</v>
      </c>
      <c r="BH192" s="5">
        <f>IF(BG192*AY192&gt;AL192+AZ192,BG192*AY192-AL192-AZ192,0)</f>
        <v>97</v>
      </c>
      <c r="BI192" s="42">
        <f>IF(M192/1.6&lt;8,ROUND(M192/1.6,0),8)</f>
        <v>8</v>
      </c>
      <c r="BJ192" s="5">
        <f>(AH192+AP192+AZ192)*BA192+0.1*BH192</f>
        <v>126.2124730790552</v>
      </c>
      <c r="BK192" s="11">
        <v>2</v>
      </c>
      <c r="BL192" s="5">
        <f>M192*0.2</f>
        <v>2.808</v>
      </c>
      <c r="BM192" s="5">
        <f>ROUNDDOWN(M192/2.13,0)</f>
        <v>6</v>
      </c>
      <c r="BN192" s="12">
        <f>M192/4.26</f>
        <v>3.295774647887324</v>
      </c>
      <c r="BO192" s="5">
        <f>IF(M192&lt;8,1.22,IF(M192&lt;15.2,0.108333*M192+0.353,2))</f>
        <v>1.87399532</v>
      </c>
      <c r="BP192" s="12">
        <f>IF(BK192&lt;BO192,1+0.3*(BO192-BK192)/M192,1)</f>
        <v>1</v>
      </c>
      <c r="BQ192" s="39">
        <v>10</v>
      </c>
      <c r="BR192" s="39">
        <v>2</v>
      </c>
      <c r="BS192" s="36"/>
      <c r="BT192" s="36"/>
      <c r="BU192" t="s" s="24">
        <v>154</v>
      </c>
      <c r="BV192" s="5">
        <f>IF(BQ192&lt;(M192/0.3048)^0.5,1,IF(BU192="x",1-BR192*0.02,IF(BT192="x",1-BR192*0.01,1)))</f>
        <v>0.96</v>
      </c>
      <c r="BW192" s="12">
        <f>IF(K192="x",MIN(1.315,1.28+U192*N192/BJ192/AR192/1100),IF(L192="x",1.28,MAX(1.245,1.28-U192*N192/BJ192/AR192/1100)))</f>
        <v>1.245</v>
      </c>
      <c r="BX192" s="41">
        <f>BW192*T192*BV192*BP192*N192^0.3*BJ192^0.4/V192^0.325</f>
        <v>0.9257633970666894</v>
      </c>
      <c r="BY192" s="29"/>
      <c r="BZ192" s="29"/>
      <c r="CA192" t="s" s="19">
        <v>213</v>
      </c>
      <c r="CB192" t="s" s="19">
        <v>1107</v>
      </c>
      <c r="CC192" t="s" s="19">
        <v>164</v>
      </c>
      <c r="CD192" t="s" s="19">
        <v>307</v>
      </c>
      <c r="CE192" s="3"/>
      <c r="CF192" s="3"/>
      <c r="CG192" t="s" s="30">
        <f>A192</f>
        <v>1258</v>
      </c>
    </row>
    <row r="193" ht="12.75" customHeight="1">
      <c r="A193" t="s" s="25">
        <v>1259</v>
      </c>
      <c r="B193" t="s" s="19">
        <v>1260</v>
      </c>
      <c r="C193" t="s" s="19">
        <v>278</v>
      </c>
      <c r="D193" t="s" s="19">
        <v>1261</v>
      </c>
      <c r="E193" t="s" s="19">
        <v>1262</v>
      </c>
      <c r="F193" s="3"/>
      <c r="G193" t="s" s="19">
        <v>1263</v>
      </c>
      <c r="H193" s="32"/>
      <c r="I193" s="32"/>
      <c r="J193" s="36"/>
      <c r="K193" t="s" s="24">
        <v>154</v>
      </c>
      <c r="L193" s="36"/>
      <c r="M193" s="11">
        <v>7.99</v>
      </c>
      <c r="N193" s="5">
        <v>7.99</v>
      </c>
      <c r="O193" s="11">
        <v>6.5</v>
      </c>
      <c r="P193" s="11"/>
      <c r="Q193" s="37"/>
      <c r="R193" t="s" s="24">
        <v>161</v>
      </c>
      <c r="S193" s="36"/>
      <c r="T193" s="38">
        <f>IF(S193&gt;0,1.048,IF(R193&gt;0,1.048,IF(Q193&gt;0,1.036,0.907+1.55*(P193/N193)-4.449*(P193/N193)^2)))</f>
        <v>1.048</v>
      </c>
      <c r="U193" s="39">
        <v>1350</v>
      </c>
      <c r="V193" s="40">
        <f>IF(H193="x",75+U193,IF(M193&lt;6.66,150+U193,-1.7384*M193^2+92.38*M193-388+U193))</f>
        <v>1589.13657016</v>
      </c>
      <c r="W193" s="5"/>
      <c r="X193" s="5"/>
      <c r="Y193" s="5"/>
      <c r="Z193" s="5"/>
      <c r="AA193" s="5"/>
      <c r="AB193" s="5"/>
      <c r="AC193" s="5">
        <v>12.7</v>
      </c>
      <c r="AD193" s="33">
        <v>30</v>
      </c>
      <c r="AE193" s="5">
        <f>IF(AD193=0,(W193+4*X193+2*Y193+4*Z193+AA193)*AC193/12+W193*AB193/1.5,AD193)</f>
        <v>30</v>
      </c>
      <c r="AF193" s="11">
        <v>12.7</v>
      </c>
      <c r="AG193" s="11"/>
      <c r="AH193" s="5">
        <f>IF(AC193=0,AE193+AF193*AG193/2,AE193+AC193*AG193/2)</f>
        <v>30</v>
      </c>
      <c r="AI193" s="3"/>
      <c r="AJ193" s="3"/>
      <c r="AK193" s="33">
        <v>12</v>
      </c>
      <c r="AL193" s="5">
        <f>IF(AK193=0,AI193*AJ193/2,AK193)</f>
        <v>12</v>
      </c>
      <c r="AM193" s="3"/>
      <c r="AN193" s="5"/>
      <c r="AO193" s="5"/>
      <c r="AP193" s="5">
        <f>AL193+AI193*(AN193-AO193)/2</f>
        <v>12</v>
      </c>
      <c r="AQ193" s="5">
        <f>0.1*(AE193+AL193)</f>
        <v>4.2</v>
      </c>
      <c r="AR193" s="11">
        <v>12.05</v>
      </c>
      <c r="AS193" s="11"/>
      <c r="AT193" s="11"/>
      <c r="AU193" s="11"/>
      <c r="AV193" s="33">
        <v>32</v>
      </c>
      <c r="AW193" s="5">
        <f>IF(AV193=0,AS193/6*(AT193+AU193*4),AV193)</f>
        <v>32</v>
      </c>
      <c r="AX193" s="11">
        <v>1.6</v>
      </c>
      <c r="AY193" s="5">
        <f>IF(AX193&lt;0.149*M193+0.329,1,AX193/(0.149*M193+0.329))</f>
        <v>1.052971023553646</v>
      </c>
      <c r="AZ193" s="5">
        <f>IF(AW193*AY193&gt;AL193,(AW193*AY193-AL193)/4,0)</f>
        <v>5.423768188429166</v>
      </c>
      <c r="BA193" s="12">
        <f>0.401+0.1831*(2*AR193^2/(AH193+AP193+AZ193))-0.02016*(2*AR193^2/(AH193+AP193+AZ193))^2+0.0007472*(2*AR193^2/(AH193+AP193+AZ193))^3</f>
        <v>0.9378385149885705</v>
      </c>
      <c r="BB193" s="3"/>
      <c r="BC193" s="3"/>
      <c r="BD193" s="3"/>
      <c r="BE193" s="3"/>
      <c r="BF193" s="33"/>
      <c r="BG193" s="5">
        <f>IF(BF193=0,(BC193+BD193)*(BB193/12+BE193/3),BF193)</f>
        <v>0</v>
      </c>
      <c r="BH193" s="5">
        <f>IF(BG193*AY193&gt;AL193+AZ193,BG193*AY193-AL193-AZ193,0)</f>
        <v>0</v>
      </c>
      <c r="BI193" s="5">
        <f>IF(M193/1.6&lt;8,ROUND(M193/1.6,0),8)</f>
        <v>5</v>
      </c>
      <c r="BJ193" s="5">
        <f>(AH193+AP193+AZ193)*BA193+0.1*BH193</f>
        <v>44.47583633299862</v>
      </c>
      <c r="BK193" s="11">
        <v>1.8</v>
      </c>
      <c r="BL193" s="5">
        <f>M193*0.2</f>
        <v>1.598</v>
      </c>
      <c r="BM193" s="5">
        <f>ROUNDDOWN(M193/2.13,0)</f>
        <v>3</v>
      </c>
      <c r="BN193" s="12">
        <f>M193/4.26</f>
        <v>1.875586854460094</v>
      </c>
      <c r="BO193" s="5">
        <f>IF(M193&lt;8,1.22,IF(M193&lt;15.2,0.108333*M193+0.353,2))</f>
        <v>1.22</v>
      </c>
      <c r="BP193" s="12">
        <f>IF(BK193&lt;BO193,1+0.3*(BO193-BK193)/M193,1)</f>
        <v>1</v>
      </c>
      <c r="BQ193" s="32"/>
      <c r="BR193" s="39">
        <v>0</v>
      </c>
      <c r="BS193" t="s" s="24">
        <v>154</v>
      </c>
      <c r="BT193" s="36"/>
      <c r="BU193" s="36"/>
      <c r="BV193" s="5">
        <f>IF(BQ193&lt;(M193/0.3048)^0.5,1,IF(BU193="x",1-BR193*0.02,IF(BT193="x",1-BR193*0.01,1)))</f>
        <v>1</v>
      </c>
      <c r="BW193" s="12">
        <f>IF(K193="x",MIN(1.315,1.28+U193*N193/BJ193/AR193/1100),IF(L193="x",1.28,MAX(1.245,1.28-U193*N193/BJ193/AR193/1100)))</f>
        <v>1.298296865362896</v>
      </c>
      <c r="BX193" s="41">
        <f>BW193*T193*BV193*BP193*N193^0.3*BJ193^0.4/V193^0.325</f>
        <v>1.0552894032598</v>
      </c>
      <c r="BY193" s="29"/>
      <c r="BZ193" s="29"/>
      <c r="CA193" t="s" s="19">
        <v>162</v>
      </c>
      <c r="CB193" t="s" s="19">
        <v>179</v>
      </c>
      <c r="CC193" t="s" s="19">
        <v>164</v>
      </c>
      <c r="CD193" t="s" s="19">
        <v>1264</v>
      </c>
      <c r="CE193" s="3"/>
      <c r="CF193" s="3"/>
      <c r="CG193" t="s" s="30">
        <f>A193</f>
        <v>1265</v>
      </c>
    </row>
    <row r="194" ht="12.75" customHeight="1">
      <c r="A194" t="s" s="25">
        <v>1266</v>
      </c>
      <c r="B194" t="s" s="19">
        <v>183</v>
      </c>
      <c r="C194" t="s" s="19">
        <v>184</v>
      </c>
      <c r="D194" t="s" s="19">
        <v>185</v>
      </c>
      <c r="E194" t="s" s="19">
        <v>1267</v>
      </c>
      <c r="F194" t="s" s="19">
        <v>1268</v>
      </c>
      <c r="G194" s="3"/>
      <c r="H194" s="32"/>
      <c r="I194" s="32"/>
      <c r="J194" t="s" s="24">
        <v>154</v>
      </c>
      <c r="K194" s="36"/>
      <c r="L194" s="36"/>
      <c r="M194" s="11">
        <v>12.25</v>
      </c>
      <c r="N194" s="5">
        <v>11.46</v>
      </c>
      <c r="O194" s="11">
        <v>7.7</v>
      </c>
      <c r="P194" s="11"/>
      <c r="Q194" s="37"/>
      <c r="R194" s="43">
        <v>1.9</v>
      </c>
      <c r="S194" s="36"/>
      <c r="T194" s="38">
        <f>IF(S194&gt;0,1.048,IF(R194&gt;0,1.048,IF(Q194&gt;0,1.036,0.907+1.55*(P194/N194)-4.449*(P194/N194)^2)))</f>
        <v>1.048</v>
      </c>
      <c r="U194" s="39">
        <v>2250</v>
      </c>
      <c r="V194" s="40">
        <f>IF(H194="x",75+U194,IF(M194&lt;6.66,150+U194,-1.7384*M194^2+92.38*M194-388+U194))</f>
        <v>2732.78635</v>
      </c>
      <c r="W194" s="5"/>
      <c r="X194" s="5"/>
      <c r="Y194" s="5"/>
      <c r="Z194" s="5"/>
      <c r="AA194" s="5"/>
      <c r="AB194" s="5"/>
      <c r="AC194" s="5"/>
      <c r="AD194" s="33">
        <v>90</v>
      </c>
      <c r="AE194" s="5">
        <f>IF(AD194=0,(W194+4*X194+2*Y194+4*Z194+AA194)*AC194/12+W194*AB194/1.5,AD194)</f>
        <v>90</v>
      </c>
      <c r="AF194" s="11">
        <v>21.7</v>
      </c>
      <c r="AG194" s="11">
        <v>0.65</v>
      </c>
      <c r="AH194" s="5">
        <f>IF(AC194=0,AE194+AF194*AG194/2,AE194+AC194*AG194/2)</f>
        <v>97.05249999999999</v>
      </c>
      <c r="AI194" s="3"/>
      <c r="AJ194" s="3"/>
      <c r="AK194" s="33">
        <v>7</v>
      </c>
      <c r="AL194" s="5">
        <f>IF(AK194=0,AI194*AJ194/2,AK194)</f>
        <v>7</v>
      </c>
      <c r="AM194" t="s" s="19">
        <v>154</v>
      </c>
      <c r="AN194" s="5"/>
      <c r="AO194" s="5"/>
      <c r="AP194" s="5">
        <f>AL194+AI194*(AN194-AO194)/2</f>
        <v>7</v>
      </c>
      <c r="AQ194" s="5">
        <f>0.1*(AE194+AL194)</f>
        <v>9.700000000000001</v>
      </c>
      <c r="AR194" s="11">
        <v>21.7</v>
      </c>
      <c r="AS194" s="11"/>
      <c r="AT194" s="11"/>
      <c r="AU194" s="11"/>
      <c r="AV194" s="33"/>
      <c r="AW194" s="5">
        <f>IF(AV194=0,AS194/6*(AT194+AU194*4),AV194)</f>
        <v>0</v>
      </c>
      <c r="AX194" s="11">
        <v>0.3</v>
      </c>
      <c r="AY194" s="5">
        <f>IF(AX194&lt;0.149*M194+0.329,1,AX194/(0.149*M194+0.329))</f>
        <v>1</v>
      </c>
      <c r="AZ194" s="5">
        <f>IF(AW194*AY194&gt;AL194,(AW194*AY194-AL194)/4,0)</f>
        <v>0</v>
      </c>
      <c r="BA194" s="12">
        <f>0.401+0.1831*(2*AR194^2/(AH194+AP194+AZ194))-0.02016*(2*AR194^2/(AH194+AP194+AZ194))^2+0.0007472*(2*AR194^2/(AH194+AP194+AZ194))^3</f>
        <v>0.9607402203751187</v>
      </c>
      <c r="BB194" s="3"/>
      <c r="BC194" s="3"/>
      <c r="BD194" s="3"/>
      <c r="BE194" s="3"/>
      <c r="BF194" s="33">
        <v>60</v>
      </c>
      <c r="BG194" s="5">
        <f>IF(BF194=0,(BC194+BD194)*(BB194/12+BE194/3),BF194)</f>
        <v>60</v>
      </c>
      <c r="BH194" s="5">
        <f>IF(BG194*AY194&gt;AL194+AZ194,BG194*AY194-AL194-AZ194,0)</f>
        <v>53</v>
      </c>
      <c r="BI194" s="5">
        <f>IF(M194/1.6&lt;8,ROUND(M194/1.6,0),8)</f>
        <v>8</v>
      </c>
      <c r="BJ194" s="5">
        <f>(AH194+AP194+AZ194)*BA194+0.1*BH194</f>
        <v>105.267421780582</v>
      </c>
      <c r="BK194" s="11">
        <v>1.9</v>
      </c>
      <c r="BL194" s="5">
        <f>M194*0.2</f>
        <v>2.45</v>
      </c>
      <c r="BM194" s="5">
        <f>ROUNDDOWN(M194/2.13,0)</f>
        <v>5</v>
      </c>
      <c r="BN194" s="12">
        <f>M194/4.26</f>
        <v>2.875586854460094</v>
      </c>
      <c r="BO194" s="5">
        <f>IF(M194&lt;8,1.22,IF(M194&lt;15.2,0.108333*M194+0.353,2))</f>
        <v>1.68007925</v>
      </c>
      <c r="BP194" s="12">
        <f>IF(BK194&lt;BO194,1+0.3*(BO194-BK194)/M194,1)</f>
        <v>1</v>
      </c>
      <c r="BQ194" s="39">
        <v>7</v>
      </c>
      <c r="BR194" s="32"/>
      <c r="BS194" t="s" s="24">
        <v>154</v>
      </c>
      <c r="BT194" s="36"/>
      <c r="BU194" s="36"/>
      <c r="BV194" s="5">
        <f>IF(BQ194&lt;(M194/0.3048)^0.5,1,IF(BU194="x",1-BR194*0.02,IF(BT194="x",1-BR194*0.01,1)))</f>
        <v>1</v>
      </c>
      <c r="BW194" s="12">
        <f>IF(K194="x",MIN(1.315,1.28+U194*N194/BJ194/AR194/1100),IF(L194="x",1.28,MAX(1.245,1.28-U194*N194/BJ194/AR194/1100)))</f>
        <v>1.269738266529989</v>
      </c>
      <c r="BX194" s="41">
        <f>BW194*T194*BV194*BP194*N194^0.3*BJ194^0.4/V194^0.325</f>
        <v>1.360979629057614</v>
      </c>
      <c r="BY194" s="29"/>
      <c r="BZ194" s="29"/>
      <c r="CA194" s="3"/>
      <c r="CB194" s="3"/>
      <c r="CC194" t="s" s="19">
        <v>180</v>
      </c>
      <c r="CD194" s="3"/>
      <c r="CE194" s="3"/>
      <c r="CF194" s="3"/>
      <c r="CG194" t="s" s="30">
        <f>A194</f>
        <v>1269</v>
      </c>
    </row>
    <row r="195" ht="12.75" customHeight="1">
      <c r="A195" t="s" s="25">
        <v>1270</v>
      </c>
      <c r="B195" t="s" s="19">
        <v>1271</v>
      </c>
      <c r="C195" t="s" s="19">
        <v>1040</v>
      </c>
      <c r="D195" t="s" s="19">
        <v>1040</v>
      </c>
      <c r="E195" t="s" s="19">
        <v>773</v>
      </c>
      <c r="F195" t="s" s="19">
        <v>1272</v>
      </c>
      <c r="G195" t="s" s="19">
        <v>1273</v>
      </c>
      <c r="H195" s="32"/>
      <c r="I195" s="32"/>
      <c r="J195" s="36"/>
      <c r="K195" t="s" s="24">
        <v>154</v>
      </c>
      <c r="L195" s="36"/>
      <c r="M195" s="11">
        <v>6.99</v>
      </c>
      <c r="N195" s="5">
        <v>6.99</v>
      </c>
      <c r="O195" s="11">
        <v>5</v>
      </c>
      <c r="P195" s="11">
        <v>0.75</v>
      </c>
      <c r="Q195" s="37"/>
      <c r="R195" s="36"/>
      <c r="S195" s="36"/>
      <c r="T195" s="38">
        <f>IF(S195&gt;0,1.048,IF(R195&gt;0,1.048,IF(Q195&gt;0,1.036,0.907+1.55*(P195/N195)-4.449*(P195/N195)^2)))</f>
        <v>1.022090073495552</v>
      </c>
      <c r="U195" s="39">
        <v>1160</v>
      </c>
      <c r="V195" s="40">
        <f>IF(H195="x",75+U195,IF(M195&lt;6.66,150+U195,-1.7384*M195^2+92.38*M195-388+U195))</f>
        <v>1332.79780216</v>
      </c>
      <c r="W195" s="5"/>
      <c r="X195" s="5"/>
      <c r="Y195" s="5"/>
      <c r="Z195" s="5"/>
      <c r="AA195" s="5"/>
      <c r="AB195" s="5"/>
      <c r="AC195" s="5">
        <v>8.9</v>
      </c>
      <c r="AD195" s="33">
        <v>23</v>
      </c>
      <c r="AE195" s="5">
        <f>IF(AD195=0,(W195+4*X195+2*Y195+4*Z195+AA195)*AC195/12+W195*AB195/1.5,AD195)</f>
        <v>23</v>
      </c>
      <c r="AF195" s="11">
        <v>10.57</v>
      </c>
      <c r="AG195" s="11"/>
      <c r="AH195" s="5">
        <f>IF(AC195=0,AE195+AF195*AG195/2,AE195+AC195*AG195/2)</f>
        <v>23</v>
      </c>
      <c r="AI195" s="5">
        <v>8.75</v>
      </c>
      <c r="AJ195" s="3"/>
      <c r="AK195" s="33">
        <v>14.5</v>
      </c>
      <c r="AL195" s="5">
        <f>IF(AK195=0,AI195*AJ195/2,AK195)</f>
        <v>14.5</v>
      </c>
      <c r="AM195" s="3"/>
      <c r="AN195" s="5"/>
      <c r="AO195" s="5">
        <v>0.094</v>
      </c>
      <c r="AP195" s="5">
        <f>AL195+AI195*(AN195-AO195)/2</f>
        <v>14.08875</v>
      </c>
      <c r="AQ195" s="5">
        <f>0.1*(AE195+AL195)</f>
        <v>3.75</v>
      </c>
      <c r="AR195" s="11">
        <v>10.57</v>
      </c>
      <c r="AS195" s="11"/>
      <c r="AT195" s="11"/>
      <c r="AU195" s="11"/>
      <c r="AV195" s="33">
        <v>25</v>
      </c>
      <c r="AW195" s="5">
        <f>IF(AV195=0,AS195/6*(AT195+AU195*4),AV195)</f>
        <v>25</v>
      </c>
      <c r="AX195" s="11">
        <v>0</v>
      </c>
      <c r="AY195" s="5">
        <f>IF(AX195&lt;0.149*M195+0.329,1,AX195/(0.149*M195+0.329))</f>
        <v>1</v>
      </c>
      <c r="AZ195" s="5">
        <f>IF(AW195*AY195&gt;AL195,(AW195*AY195-AL195)/4,0)</f>
        <v>2.625</v>
      </c>
      <c r="BA195" s="12">
        <f>0.401+0.1831*(2*AR195^2/(AH195+AP195+AZ195))-0.02016*(2*AR195^2/(AH195+AP195+AZ195))^2+0.0007472*(2*AR195^2/(AH195+AP195+AZ195))^3</f>
        <v>0.9260891324685412</v>
      </c>
      <c r="BB195" s="3"/>
      <c r="BC195" s="3"/>
      <c r="BD195" s="3"/>
      <c r="BE195" s="3"/>
      <c r="BF195" s="33">
        <v>44</v>
      </c>
      <c r="BG195" s="5">
        <f>IF(BF195=0,(BC195+BD195)*(BB195/12+BE195/3),BF195)</f>
        <v>44</v>
      </c>
      <c r="BH195" s="5">
        <f>IF(BG195*AY195&gt;AL195+AZ195,BG195*AY195-AL195-AZ195,0)</f>
        <v>26.875</v>
      </c>
      <c r="BI195" s="5">
        <f>IF(M195/1.6&lt;8,ROUND(M195/1.6,0),8)</f>
        <v>4</v>
      </c>
      <c r="BJ195" s="5">
        <f>(AH195+AP195+AZ195)*BA195+0.1*BH195</f>
        <v>39.46597228457252</v>
      </c>
      <c r="BK195" s="11">
        <v>1.45</v>
      </c>
      <c r="BL195" s="5">
        <f>M195*0.2</f>
        <v>1.398</v>
      </c>
      <c r="BM195" s="5">
        <f>ROUNDDOWN(M195/2.13,0)</f>
        <v>3</v>
      </c>
      <c r="BN195" s="12">
        <f>M195/4.26</f>
        <v>1.640845070422535</v>
      </c>
      <c r="BO195" s="5">
        <f>IF(M195&lt;8,1.22,IF(M195&lt;15.2,0.108333*M195+0.353,2))</f>
        <v>1.22</v>
      </c>
      <c r="BP195" s="12">
        <f>IF(BK195&lt;BO195,1+0.3*(BO195-BK195)/M195,1)</f>
        <v>1</v>
      </c>
      <c r="BQ195" s="39">
        <v>7.9</v>
      </c>
      <c r="BR195" s="32"/>
      <c r="BS195" t="s" s="24">
        <v>154</v>
      </c>
      <c r="BT195" s="36"/>
      <c r="BU195" s="36"/>
      <c r="BV195" s="5">
        <f>IF(BQ195&lt;(M195/0.3048)^0.5,1,IF(BU195="x",1-BR195*0.02,IF(BT195="x",1-BR195*0.01,1)))</f>
        <v>1</v>
      </c>
      <c r="BW195" s="12">
        <f>IF(K195="x",MIN(1.315,1.28+U195*N195/BJ195/AR195/1100),IF(L195="x",1.28,MAX(1.245,1.28-U195*N195/BJ195/AR195/1100)))</f>
        <v>1.297670331047758</v>
      </c>
      <c r="BX195" s="41">
        <f>BW195*T195*BV195*BP195*N195^0.3*BJ195^0.4/V195^0.325</f>
        <v>0.9975563422150454</v>
      </c>
      <c r="BY195" s="29"/>
      <c r="BZ195" s="29"/>
      <c r="CA195" t="s" s="19">
        <v>188</v>
      </c>
      <c r="CB195" s="42">
        <v>2008</v>
      </c>
      <c r="CC195" s="3"/>
      <c r="CD195" s="3"/>
      <c r="CE195" s="3"/>
      <c r="CF195" s="3"/>
      <c r="CG195" t="s" s="30">
        <f>A195</f>
        <v>1274</v>
      </c>
    </row>
    <row r="196" ht="12.75" customHeight="1">
      <c r="A196" t="s" s="25">
        <v>1275</v>
      </c>
      <c r="B196" t="s" s="19">
        <v>574</v>
      </c>
      <c r="C196" t="s" s="19">
        <v>1276</v>
      </c>
      <c r="D196" t="s" s="19">
        <v>1277</v>
      </c>
      <c r="E196" t="s" s="19">
        <v>1278</v>
      </c>
      <c r="F196" t="s" s="19">
        <v>1279</v>
      </c>
      <c r="G196" s="3"/>
      <c r="H196" s="32"/>
      <c r="I196" s="32"/>
      <c r="J196" t="s" s="24">
        <v>154</v>
      </c>
      <c r="K196" s="36"/>
      <c r="L196" s="36"/>
      <c r="M196" s="11">
        <v>20</v>
      </c>
      <c r="N196" s="5">
        <v>18.28</v>
      </c>
      <c r="O196" s="11">
        <v>11</v>
      </c>
      <c r="P196" s="11"/>
      <c r="Q196" s="37"/>
      <c r="R196" s="43">
        <v>2.9</v>
      </c>
      <c r="S196" s="36"/>
      <c r="T196" s="38">
        <f>IF(S196&gt;0,1.048,IF(R196&gt;0,1.048,IF(Q196&gt;0,1.036,0.907+1.55*(P196/N196)-4.449*(P196/N196)^2)))</f>
        <v>1.048</v>
      </c>
      <c r="U196" s="39">
        <v>8500</v>
      </c>
      <c r="V196" s="40">
        <f>IF(H196="x",75+U196,IF(M196&lt;6.66,150+U196,-1.7384*M196^2+92.38*M196-388+U196))</f>
        <v>9264.24</v>
      </c>
      <c r="W196" s="5"/>
      <c r="X196" s="5"/>
      <c r="Y196" s="5"/>
      <c r="Z196" s="5"/>
      <c r="AA196" s="5"/>
      <c r="AB196" s="5"/>
      <c r="AC196" s="5">
        <v>26</v>
      </c>
      <c r="AD196" s="33">
        <v>145</v>
      </c>
      <c r="AE196" s="5">
        <f>IF(AD196=0,(W196+4*X196+2*Y196+4*Z196+AA196)*AC196/12+W196*AB196/1.5,AD196)</f>
        <v>145</v>
      </c>
      <c r="AF196" s="11">
        <v>27</v>
      </c>
      <c r="AG196" s="11"/>
      <c r="AH196" s="5">
        <f>IF(AC196=0,AE196+AF196*AG196/2,AE196+AC196*AG196/2)</f>
        <v>145</v>
      </c>
      <c r="AI196" s="5">
        <v>25</v>
      </c>
      <c r="AJ196" s="3"/>
      <c r="AK196" s="33">
        <v>75</v>
      </c>
      <c r="AL196" s="5">
        <f>IF(AK196=0,AI196*AJ196/2,AK196)</f>
        <v>75</v>
      </c>
      <c r="AM196" t="s" s="19">
        <v>154</v>
      </c>
      <c r="AN196" s="5"/>
      <c r="AO196" s="5"/>
      <c r="AP196" s="5">
        <f>AL196+AI196*(AN196-AO196)/2</f>
        <v>75</v>
      </c>
      <c r="AQ196" s="5">
        <f>0.1*(AE196+AL196)</f>
        <v>22</v>
      </c>
      <c r="AR196" s="11">
        <v>27</v>
      </c>
      <c r="AS196" s="11"/>
      <c r="AT196" s="11"/>
      <c r="AU196" s="11"/>
      <c r="AV196" s="33">
        <v>230</v>
      </c>
      <c r="AW196" s="5">
        <f>IF(AV196=0,AS196/6*(AT196+AU196*4),AV196)</f>
        <v>230</v>
      </c>
      <c r="AX196" s="11">
        <v>1.1</v>
      </c>
      <c r="AY196" s="5">
        <f>IF(AX196&lt;0.149*M196+0.329,1,AX196/(0.149*M196+0.329))</f>
        <v>1</v>
      </c>
      <c r="AZ196" s="5">
        <f>IF(AW196*AY196&gt;AL196,(AW196*AY196-AL196)/4,0)</f>
        <v>38.75</v>
      </c>
      <c r="BA196" s="12">
        <f>0.401+0.1831*(2*AR196^2/(AH196+AP196+AZ196))-0.02016*(2*AR196^2/(AH196+AP196+AZ196))^2+0.0007472*(2*AR196^2/(AH196+AP196+AZ196))^3</f>
        <v>0.9263136625839732</v>
      </c>
      <c r="BB196" s="3"/>
      <c r="BC196" s="3"/>
      <c r="BD196" s="3"/>
      <c r="BE196" s="3"/>
      <c r="BF196" s="33">
        <v>280</v>
      </c>
      <c r="BG196" s="5">
        <f>IF(BF196=0,(BC196+BD196)*(BB196/12+BE196/3),BF196)</f>
        <v>280</v>
      </c>
      <c r="BH196" s="5">
        <f>IF(BG196*AY196&gt;AL196+AZ196,BG196*AY196-AL196-AZ196,0)</f>
        <v>166.25</v>
      </c>
      <c r="BI196" s="42">
        <f>IF(M196/1.6&lt;8,ROUND(M196/1.6,0),8)</f>
        <v>8</v>
      </c>
      <c r="BJ196" s="5">
        <f>(AH196+AP196+AZ196)*BA196+0.1*BH196</f>
        <v>256.308660193603</v>
      </c>
      <c r="BK196" s="11">
        <v>1.7</v>
      </c>
      <c r="BL196" s="5">
        <f>M196*0.2</f>
        <v>4</v>
      </c>
      <c r="BM196" s="5">
        <f>ROUNDDOWN(M196/2.13,0)</f>
        <v>9</v>
      </c>
      <c r="BN196" s="12">
        <f>M196/4.26</f>
        <v>4.694835680751174</v>
      </c>
      <c r="BO196" s="5">
        <f>IF(M196&lt;8,1.22,IF(M196&lt;15.2,0.108333*M196+0.353,2))</f>
        <v>2</v>
      </c>
      <c r="BP196" s="12">
        <f>IF(BK196&lt;BO196,1+0.3*(BO196-BK196)/M196,1)</f>
        <v>1.0045</v>
      </c>
      <c r="BQ196" s="39">
        <v>5</v>
      </c>
      <c r="BR196" s="39">
        <v>2</v>
      </c>
      <c r="BS196" s="36"/>
      <c r="BT196" t="s" s="24">
        <v>154</v>
      </c>
      <c r="BU196" s="36"/>
      <c r="BV196" s="5">
        <f>IF(BQ196&lt;(M196/0.3048)^0.5,1,IF(BU196="x",1-BR196*0.02,IF(BT196="x",1-BR196*0.01,1)))</f>
        <v>1</v>
      </c>
      <c r="BW196" s="12">
        <f>IF(K196="x",MIN(1.315,1.28+U196*N196/BJ196/AR196/1100),IF(L196="x",1.28,MAX(1.245,1.28-U196*N196/BJ196/AR196/1100)))</f>
        <v>1.2595884780963</v>
      </c>
      <c r="BX196" s="41">
        <f>BW196*T196*BV196*BP196*N196^0.3*BJ196^0.4/V196^0.325</f>
        <v>1.497700202501806</v>
      </c>
      <c r="BY196" s="29"/>
      <c r="BZ196" s="29"/>
      <c r="CA196" s="3"/>
      <c r="CB196" s="3"/>
      <c r="CC196" s="3"/>
      <c r="CD196" s="3"/>
      <c r="CE196" s="3"/>
      <c r="CF196" s="3"/>
      <c r="CG196" t="s" s="30">
        <f>A196</f>
        <v>1280</v>
      </c>
    </row>
    <row r="197" ht="12.75" customHeight="1">
      <c r="A197" t="s" s="25">
        <v>1281</v>
      </c>
      <c r="B197" t="s" s="19">
        <v>820</v>
      </c>
      <c r="C197" t="s" s="19">
        <v>821</v>
      </c>
      <c r="D197" t="s" s="19">
        <v>822</v>
      </c>
      <c r="E197" t="s" s="19">
        <v>1282</v>
      </c>
      <c r="F197" s="3"/>
      <c r="G197" s="3"/>
      <c r="H197" s="32"/>
      <c r="I197" s="32"/>
      <c r="J197" t="s" s="24">
        <v>154</v>
      </c>
      <c r="K197" s="36"/>
      <c r="L197" s="36"/>
      <c r="M197" s="11">
        <v>8</v>
      </c>
      <c r="N197" s="5">
        <v>7.8</v>
      </c>
      <c r="O197" s="11"/>
      <c r="P197" s="11"/>
      <c r="Q197" s="37"/>
      <c r="R197" t="s" s="24">
        <v>161</v>
      </c>
      <c r="S197" s="36"/>
      <c r="T197" s="38">
        <f>IF(S197&gt;0,1.048,IF(R197&gt;0,1.048,IF(Q197&gt;0,1.036,0.907+1.55*(P197/N197)-4.449*(P197/N197)^2)))</f>
        <v>1.048</v>
      </c>
      <c r="U197" s="39">
        <v>694</v>
      </c>
      <c r="V197" s="40">
        <f>IF(H197="x",75+U197,IF(M197&lt;6.66,150+U197,-1.7384*M197^2+92.38*M197-388+U197))</f>
        <v>933.7823999999999</v>
      </c>
      <c r="W197" s="5">
        <v>3</v>
      </c>
      <c r="X197" s="5">
        <v>2.89</v>
      </c>
      <c r="Y197" s="5">
        <v>2.6</v>
      </c>
      <c r="Z197" s="5">
        <v>2.05</v>
      </c>
      <c r="AA197" s="5">
        <v>0.6</v>
      </c>
      <c r="AB197" s="5"/>
      <c r="AC197" s="5">
        <v>10.95</v>
      </c>
      <c r="AD197" s="33"/>
      <c r="AE197" s="5">
        <f>IF(AD197=0,(W197+4*X197+2*Y197+4*Z197+AA197)*AC197/12+W197*AB197/1.5,AD197)</f>
        <v>26.061</v>
      </c>
      <c r="AF197" s="11">
        <v>11.8</v>
      </c>
      <c r="AG197" s="11">
        <v>0.49</v>
      </c>
      <c r="AH197" s="5">
        <f>IF(AC197=0,AE197+AF197*AG197/2,AE197+AC197*AG197/2)</f>
        <v>28.74375</v>
      </c>
      <c r="AI197" s="5">
        <v>7.87</v>
      </c>
      <c r="AJ197" s="5">
        <v>1.8</v>
      </c>
      <c r="AK197" s="33"/>
      <c r="AL197" s="5">
        <f>IF(AK197=0,AI197*AJ197/2,AK197)</f>
        <v>7.083</v>
      </c>
      <c r="AM197" s="3"/>
      <c r="AN197" s="5"/>
      <c r="AO197" s="5"/>
      <c r="AP197" s="5">
        <f>AL197+AI197*(AN197-AO197)/2</f>
        <v>7.083</v>
      </c>
      <c r="AQ197" s="5">
        <f>0.1*(AE197+AL197)</f>
        <v>3.314400000000001</v>
      </c>
      <c r="AR197" s="11">
        <v>11.8</v>
      </c>
      <c r="AS197" s="11"/>
      <c r="AT197" s="11"/>
      <c r="AU197" s="11"/>
      <c r="AV197" s="33"/>
      <c r="AW197" s="5">
        <f>IF(AV197=0,AS197/6*(AT197+AU197*4),AV197)</f>
        <v>0</v>
      </c>
      <c r="AX197" s="11">
        <v>1</v>
      </c>
      <c r="AY197" s="5">
        <f>IF(AX197&lt;0.149*M197+0.329,1,AX197/(0.149*M197+0.329))</f>
        <v>1</v>
      </c>
      <c r="AZ197" s="5">
        <f>IF(AW197*AY197&gt;AL197,(AW197*AY197-AL197)/4,0)</f>
        <v>0</v>
      </c>
      <c r="BA197" s="12">
        <f>0.401+0.1831*(2*AR197^2/(AH197+AP197+AZ197))-0.02016*(2*AR197^2/(AH197+AP197+AZ197))^2+0.0007472*(2*AR197^2/(AH197+AP197+AZ197))^3</f>
        <v>0.9570941596626775</v>
      </c>
      <c r="BB197" s="5">
        <v>5.12</v>
      </c>
      <c r="BC197" s="5">
        <v>11.16</v>
      </c>
      <c r="BD197" s="5">
        <v>9.619999999999999</v>
      </c>
      <c r="BE197" s="5">
        <v>4.6</v>
      </c>
      <c r="BF197" s="33"/>
      <c r="BG197" s="5">
        <f>IF(BF197=0,(BC197+BD197)*(BB197/12+BE197/3),BF197)</f>
        <v>40.7288</v>
      </c>
      <c r="BH197" s="5">
        <f>IF(BG197*AY197&gt;AL197+AZ197,BG197*AY197-AL197-AZ197,0)</f>
        <v>33.6458</v>
      </c>
      <c r="BI197" s="5">
        <f>IF(M197/1.6&lt;8,ROUND(M197/1.6,0),8)</f>
        <v>5</v>
      </c>
      <c r="BJ197" s="5">
        <f>(AH197+AP197+AZ197)*BA197+0.1*BH197</f>
        <v>37.65415318469483</v>
      </c>
      <c r="BK197" s="11">
        <v>1.1</v>
      </c>
      <c r="BL197" s="5">
        <f>M197*0.2</f>
        <v>1.6</v>
      </c>
      <c r="BM197" s="5">
        <f>ROUNDDOWN(M197/2.13,0)</f>
        <v>3</v>
      </c>
      <c r="BN197" s="12">
        <f>M197/4.26</f>
        <v>1.877934272300469</v>
      </c>
      <c r="BO197" s="5">
        <f>IF(M197&lt;8,1.22,IF(M197&lt;15.2,0.108333*M197+0.353,2))</f>
        <v>1.219664</v>
      </c>
      <c r="BP197" s="12">
        <f>IF(BK197&lt;BO197,1+0.3*(BO197-BK197)/M197,1)</f>
        <v>1.0044874</v>
      </c>
      <c r="BQ197" s="32"/>
      <c r="BR197" s="39">
        <v>0</v>
      </c>
      <c r="BS197" t="s" s="24">
        <v>154</v>
      </c>
      <c r="BT197" s="36"/>
      <c r="BU197" s="36"/>
      <c r="BV197" s="5">
        <f>IF(BQ197&lt;(M197/0.3048)^0.5,1,IF(BU197="x",1-BR197*0.02,IF(BT197="x",1-BR197*0.01,1)))</f>
        <v>1</v>
      </c>
      <c r="BW197" s="12">
        <f>IF(K197="x",MIN(1.315,1.28+U197*N197/BJ197/AR197/1100),IF(L197="x",1.28,MAX(1.245,1.28-U197*N197/BJ197/AR197/1100)))</f>
        <v>1.268924419560846</v>
      </c>
      <c r="BX197" s="41">
        <f>BW197*T197*BV197*BP197*N197^0.3*BJ197^0.4/V197^0.325</f>
        <v>1.143839839477045</v>
      </c>
      <c r="BY197" s="29"/>
      <c r="BZ197" s="29"/>
      <c r="CA197" t="s" s="19">
        <v>509</v>
      </c>
      <c r="CB197" t="s" s="19">
        <v>510</v>
      </c>
      <c r="CC197" t="s" s="19">
        <v>254</v>
      </c>
      <c r="CD197" t="s" s="19">
        <v>483</v>
      </c>
      <c r="CE197" s="3"/>
      <c r="CF197" s="3"/>
      <c r="CG197" t="s" s="30">
        <f>A197</f>
        <v>1283</v>
      </c>
    </row>
    <row r="198" ht="12.75" customHeight="1">
      <c r="A198" t="s" s="25">
        <v>1284</v>
      </c>
      <c r="B198" t="s" s="19">
        <v>1284</v>
      </c>
      <c r="C198" t="s" s="19">
        <v>1285</v>
      </c>
      <c r="D198" t="s" s="19">
        <v>1285</v>
      </c>
      <c r="E198" t="s" s="19">
        <v>1286</v>
      </c>
      <c r="F198" t="s" s="19">
        <v>1287</v>
      </c>
      <c r="G198" s="3"/>
      <c r="H198" s="32"/>
      <c r="I198" s="32"/>
      <c r="J198" s="36"/>
      <c r="K198" t="s" s="24">
        <v>154</v>
      </c>
      <c r="L198" s="36"/>
      <c r="M198" s="11">
        <v>6.97</v>
      </c>
      <c r="N198" s="5">
        <v>6.9</v>
      </c>
      <c r="O198" s="11">
        <v>5.4</v>
      </c>
      <c r="P198" s="11"/>
      <c r="Q198" s="37">
        <v>0.9399999999999999</v>
      </c>
      <c r="R198" s="36"/>
      <c r="S198" s="36"/>
      <c r="T198" s="38">
        <f>IF(S198&gt;0,1.048,IF(R198&gt;0,1.048,IF(Q198&gt;0,1.036,0.907+1.55*(P198/N198)-4.449*(P198/N198)^2)))</f>
        <v>1.036</v>
      </c>
      <c r="U198" s="39">
        <v>618</v>
      </c>
      <c r="V198" s="40">
        <f>IF(H198="x",75+U198,IF(M198&lt;6.66,150+U198,-1.7384*M198^2+92.38*M198-388+U198))</f>
        <v>789.43556344</v>
      </c>
      <c r="W198" s="5"/>
      <c r="X198" s="5"/>
      <c r="Y198" s="5"/>
      <c r="Z198" s="5"/>
      <c r="AA198" s="5"/>
      <c r="AB198" s="5"/>
      <c r="AC198" s="5">
        <v>8</v>
      </c>
      <c r="AD198" s="33">
        <v>14.1</v>
      </c>
      <c r="AE198" s="5">
        <f>IF(AD198=0,(W198+4*X198+2*Y198+4*Z198+AA198)*AC198/12+W198*AB198/1.5,AD198)</f>
        <v>14.1</v>
      </c>
      <c r="AF198" s="11">
        <v>9</v>
      </c>
      <c r="AG198" s="11"/>
      <c r="AH198" s="5">
        <f>IF(AC198=0,AE198+AF198*AG198/2,AE198+AC198*AG198/2)</f>
        <v>14.1</v>
      </c>
      <c r="AI198" s="5">
        <v>6.9</v>
      </c>
      <c r="AJ198" s="3"/>
      <c r="AK198" s="33">
        <v>12.2</v>
      </c>
      <c r="AL198" s="5">
        <f>IF(AK198=0,AI198*AJ198/2,AK198)</f>
        <v>12.2</v>
      </c>
      <c r="AM198" s="3"/>
      <c r="AN198" s="5"/>
      <c r="AO198" s="5">
        <v>0.092</v>
      </c>
      <c r="AP198" s="5">
        <f>AL198+AI198*(AN198-AO198)/2</f>
        <v>11.8826</v>
      </c>
      <c r="AQ198" s="5">
        <f>0.1*(AE198+AL198)</f>
        <v>2.63</v>
      </c>
      <c r="AR198" s="11">
        <v>9</v>
      </c>
      <c r="AS198" s="11"/>
      <c r="AT198" s="11"/>
      <c r="AU198" s="11"/>
      <c r="AV198" s="33">
        <v>0</v>
      </c>
      <c r="AW198" s="5">
        <f>IF(AV198=0,AS198/6*(AT198+AU198*4),AV198)</f>
        <v>0</v>
      </c>
      <c r="AX198" s="11"/>
      <c r="AY198" s="5">
        <f>IF(AX198&lt;0.149*M198+0.329,1,AX198/(0.149*M198+0.329))</f>
        <v>1</v>
      </c>
      <c r="AZ198" s="5">
        <f>IF(AW198*AY198&gt;AL198,(AW198*AY198-AL198)/4,0)</f>
        <v>0</v>
      </c>
      <c r="BA198" s="12">
        <f>0.401+0.1831*(2*AR198^2/(AH198+AP198+AZ198))-0.02016*(2*AR198^2/(AH198+AP198+AZ198))^2+0.0007472*(2*AR198^2/(AH198+AP198+AZ198))^3</f>
        <v>0.940014455143803</v>
      </c>
      <c r="BB198" s="3"/>
      <c r="BC198" s="3"/>
      <c r="BD198" s="3"/>
      <c r="BE198" s="3"/>
      <c r="BF198" s="33">
        <v>0</v>
      </c>
      <c r="BG198" s="5">
        <f>IF(BF198=0,(BC198+BD198)*(BB198/12+BE198/3),BF198)</f>
        <v>0</v>
      </c>
      <c r="BH198" s="5">
        <f>IF(BG198*AY198&gt;AL198+AZ198,BG198*AY198-AL198-AZ198,0)</f>
        <v>0</v>
      </c>
      <c r="BI198" s="5">
        <f>IF(M198/1.6&lt;8,ROUND(M198/1.6,0),8)</f>
        <v>4</v>
      </c>
      <c r="BJ198" s="5">
        <f>(AH198+AP198+AZ198)*BA198+0.1*BH198</f>
        <v>24.42401958221937</v>
      </c>
      <c r="BK198" s="11">
        <v>1.47</v>
      </c>
      <c r="BL198" s="5">
        <f>M198*0.2</f>
        <v>1.394</v>
      </c>
      <c r="BM198" s="5">
        <f>ROUNDDOWN(M198/2.13,0)</f>
        <v>3</v>
      </c>
      <c r="BN198" s="12">
        <f>M198/4.26</f>
        <v>1.636150234741784</v>
      </c>
      <c r="BO198" s="5">
        <f>IF(M198&lt;8,1.22,IF(M198&lt;15.2,0.108333*M198+0.353,2))</f>
        <v>1.22</v>
      </c>
      <c r="BP198" s="12">
        <f>IF(BK198&lt;BO198,1+0.3*(BO198-BK198)/M198,1)</f>
        <v>1</v>
      </c>
      <c r="BQ198" s="39">
        <v>3</v>
      </c>
      <c r="BR198" s="39">
        <v>1</v>
      </c>
      <c r="BS198" t="s" s="24">
        <v>154</v>
      </c>
      <c r="BT198" s="36"/>
      <c r="BU198" s="36"/>
      <c r="BV198" s="5">
        <f>IF(BQ198&lt;(M198/0.3048)^0.5,1,IF(BU198="x",1-BR198*0.02,IF(BT198="x",1-BR198*0.01,1)))</f>
        <v>1</v>
      </c>
      <c r="BW198" s="12">
        <f>IF(K198="x",MIN(1.315,1.28+U198*N198/BJ198/AR198/1100),IF(L198="x",1.28,MAX(1.245,1.28-U198*N198/BJ198/AR198/1100)))</f>
        <v>1.297635396633928</v>
      </c>
      <c r="BX198" s="41">
        <f>BW198*T198*BV198*BP198*N198^0.3*BJ198^0.4/V198^0.325</f>
        <v>0.985521489814184</v>
      </c>
      <c r="BY198" s="29"/>
      <c r="BZ198" s="29"/>
      <c r="CA198" t="s" s="19">
        <v>1286</v>
      </c>
      <c r="CB198" s="70">
        <v>40544</v>
      </c>
      <c r="CC198" t="s" s="19">
        <v>1288</v>
      </c>
      <c r="CD198" t="s" s="19">
        <v>1289</v>
      </c>
      <c r="CE198" s="3"/>
      <c r="CF198" s="3"/>
      <c r="CG198" t="s" s="30">
        <f>A198</f>
        <v>1290</v>
      </c>
    </row>
    <row r="199" ht="12.75" customHeight="1">
      <c r="A199" t="s" s="25">
        <v>1291</v>
      </c>
      <c r="B199" t="s" s="19">
        <v>1292</v>
      </c>
      <c r="C199" t="s" s="19">
        <v>213</v>
      </c>
      <c r="D199" t="s" s="19">
        <v>1293</v>
      </c>
      <c r="E199" t="s" s="19">
        <v>1294</v>
      </c>
      <c r="F199" s="3"/>
      <c r="G199" s="3"/>
      <c r="H199" s="32"/>
      <c r="I199" s="32"/>
      <c r="J199" t="s" s="24">
        <v>154</v>
      </c>
      <c r="K199" s="36"/>
      <c r="L199" s="36"/>
      <c r="M199" s="11">
        <v>12.45</v>
      </c>
      <c r="N199" s="5">
        <v>12.45</v>
      </c>
      <c r="O199" s="11">
        <v>6.9</v>
      </c>
      <c r="P199" s="11">
        <v>1.04</v>
      </c>
      <c r="Q199" s="37"/>
      <c r="R199" s="36"/>
      <c r="S199" s="36"/>
      <c r="T199" s="38">
        <f>IF(S199&gt;0,1.048,IF(R199&gt;0,1.048,IF(Q199&gt;0,1.036,0.907+1.55*(P199/N199)-4.449*(P199/N199)^2)))</f>
        <v>1.005433003338656</v>
      </c>
      <c r="U199" s="39">
        <v>5100</v>
      </c>
      <c r="V199" s="40">
        <f>IF(H199="x",75+U199,IF(M199&lt;6.66,150+U199,-1.7384*M199^2+92.38*M199-388+U199))</f>
        <v>5592.674654</v>
      </c>
      <c r="W199" s="5">
        <v>5.2</v>
      </c>
      <c r="X199" s="5"/>
      <c r="Y199" s="5"/>
      <c r="Z199" s="5"/>
      <c r="AA199" s="5"/>
      <c r="AB199" s="5"/>
      <c r="AC199" s="5">
        <v>15.5</v>
      </c>
      <c r="AD199" s="33">
        <v>63</v>
      </c>
      <c r="AE199" s="5">
        <f>IF(AD199=0,(W199+4*X199+2*Y199+4*Z199+AA199)*AC199/12+W199*AB199/1.5,AD199)</f>
        <v>63</v>
      </c>
      <c r="AF199" s="11">
        <v>16.1</v>
      </c>
      <c r="AG199" s="11">
        <v>1.154</v>
      </c>
      <c r="AH199" s="5">
        <f>IF(AC199=0,AE199+AF199*AG199/2,AE199+AC199*AG199/2)</f>
        <v>71.9435</v>
      </c>
      <c r="AI199" s="5">
        <v>13.9</v>
      </c>
      <c r="AJ199" s="3"/>
      <c r="AK199" s="33">
        <v>39</v>
      </c>
      <c r="AL199" s="5">
        <f>IF(AK199=0,AI199*AJ199/2,AK199)</f>
        <v>39</v>
      </c>
      <c r="AM199" s="3"/>
      <c r="AN199" s="5"/>
      <c r="AO199" s="5">
        <v>0.13</v>
      </c>
      <c r="AP199" s="5">
        <f>AL199+AI199*(AN199-AO199)/2</f>
        <v>38.0965</v>
      </c>
      <c r="AQ199" s="5">
        <f>0.1*(AE199+AL199)</f>
        <v>10.2</v>
      </c>
      <c r="AR199" s="11">
        <v>16.32</v>
      </c>
      <c r="AS199" s="11"/>
      <c r="AT199" s="11"/>
      <c r="AU199" s="11"/>
      <c r="AV199" s="33"/>
      <c r="AW199" s="5">
        <f>IF(AV199=0,AS199/6*(AT199+AU199*4),AV199)</f>
        <v>0</v>
      </c>
      <c r="AX199" s="11">
        <v>0.97</v>
      </c>
      <c r="AY199" s="5">
        <f>IF(AX199&lt;0.149*M199+0.329,1,AX199/(0.149*M199+0.329))</f>
        <v>1</v>
      </c>
      <c r="AZ199" s="5">
        <f>IF(AW199*AY199&gt;AL199,(AW199*AY199-AL199)/4,0)</f>
        <v>0</v>
      </c>
      <c r="BA199" s="12">
        <f>0.401+0.1831*(2*AR199^2/(AH199+AP199+AZ199))-0.02016*(2*AR199^2/(AH199+AP199+AZ199))^2+0.0007472*(2*AR199^2/(AH199+AP199+AZ199))^3</f>
        <v>0.8996948963765027</v>
      </c>
      <c r="BB199" s="3"/>
      <c r="BC199" s="3"/>
      <c r="BD199" s="3"/>
      <c r="BE199" s="3"/>
      <c r="BF199" s="33">
        <v>92</v>
      </c>
      <c r="BG199" s="5">
        <f>IF(BF199=0,(BC199+BD199)*(BB199/12+BE199/3),BF199)</f>
        <v>92</v>
      </c>
      <c r="BH199" s="5">
        <f>IF(BG199*AY199&gt;AL199+AZ199,BG199*AY199-AL199-AZ199,0)</f>
        <v>53</v>
      </c>
      <c r="BI199" s="5">
        <f>IF(M199/1.6&lt;8,ROUND(M199/1.6,0),8)</f>
        <v>8</v>
      </c>
      <c r="BJ199" s="5">
        <f>(AH199+AP199+AZ199)*BA199+0.1*BH199</f>
        <v>104.3024263972704</v>
      </c>
      <c r="BK199" s="11">
        <v>2</v>
      </c>
      <c r="BL199" s="5">
        <f>M199*0.2</f>
        <v>2.49</v>
      </c>
      <c r="BM199" s="5">
        <f>ROUNDDOWN(M199/2.13,0)</f>
        <v>5</v>
      </c>
      <c r="BN199" s="12">
        <f>M199/4.26</f>
        <v>2.922535211267606</v>
      </c>
      <c r="BO199" s="5">
        <f>IF(M199&lt;8,1.22,IF(M199&lt;15.2,0.108333*M199+0.353,2))</f>
        <v>1.70174585</v>
      </c>
      <c r="BP199" s="12">
        <f>IF(BK199&lt;BO199,1+0.3*(BO199-BK199)/M199,1)</f>
        <v>1</v>
      </c>
      <c r="BQ199" s="39">
        <v>8</v>
      </c>
      <c r="BR199" s="39">
        <v>2</v>
      </c>
      <c r="BS199" s="36"/>
      <c r="BT199" t="s" s="24">
        <v>154</v>
      </c>
      <c r="BU199" s="36"/>
      <c r="BV199" s="5">
        <f>IF(BQ199&lt;(M199/0.3048)^0.5,1,IF(BU199="x",1-BR199*0.02,IF(BT199="x",1-BR199*0.01,1)))</f>
        <v>0.98</v>
      </c>
      <c r="BW199" s="12">
        <f>IF(K199="x",MIN(1.315,1.28+U199*N199/BJ199/AR199/1100),IF(L199="x",1.28,MAX(1.245,1.28-U199*N199/BJ199/AR199/1100)))</f>
        <v>1.246089649681684</v>
      </c>
      <c r="BX199" s="41">
        <f>BW199*T199*BV199*BP199*N199^0.3*BJ199^0.4/V199^0.325</f>
        <v>1.016297168767774</v>
      </c>
      <c r="BY199" s="29"/>
      <c r="BZ199" s="48"/>
      <c r="CA199" t="s" s="19">
        <v>1295</v>
      </c>
      <c r="CB199" t="s" s="19">
        <v>1296</v>
      </c>
      <c r="CC199" t="s" s="19">
        <v>848</v>
      </c>
      <c r="CD199" t="s" s="19">
        <v>1297</v>
      </c>
      <c r="CE199" s="3"/>
      <c r="CF199" s="3"/>
      <c r="CG199" t="s" s="30">
        <f>A199</f>
        <v>1298</v>
      </c>
    </row>
    <row r="200" ht="12.75" customHeight="1">
      <c r="A200" t="s" s="25">
        <v>1299</v>
      </c>
      <c r="B200" t="s" s="19">
        <v>1300</v>
      </c>
      <c r="C200" t="s" s="19">
        <v>1176</v>
      </c>
      <c r="D200" t="s" s="19">
        <v>1301</v>
      </c>
      <c r="E200" t="s" s="19">
        <v>557</v>
      </c>
      <c r="F200" s="3"/>
      <c r="G200" s="3"/>
      <c r="H200" s="32"/>
      <c r="I200" s="32"/>
      <c r="J200" s="36"/>
      <c r="K200" t="s" s="24">
        <v>154</v>
      </c>
      <c r="L200" s="36"/>
      <c r="M200" s="11">
        <v>8</v>
      </c>
      <c r="N200" s="5">
        <v>8</v>
      </c>
      <c r="O200" s="11"/>
      <c r="P200" s="11"/>
      <c r="Q200" s="37"/>
      <c r="R200" t="s" s="24">
        <v>161</v>
      </c>
      <c r="S200" s="36"/>
      <c r="T200" s="38">
        <f>IF(S200&gt;0,1.048,IF(R200&gt;0,1.048,IF(Q200&gt;0,1.036,0.907+1.55*(P200/N200)-4.449*(P200/N200)^2)))</f>
        <v>1.048</v>
      </c>
      <c r="U200" s="39">
        <v>1306</v>
      </c>
      <c r="V200" s="40">
        <f>IF(H200="x",75+U200,IF(M200&lt;6.66,150+U200,-1.7384*M200^2+92.38*M200-388+U200))</f>
        <v>1545.7824</v>
      </c>
      <c r="W200" s="5"/>
      <c r="X200" s="5"/>
      <c r="Y200" s="5"/>
      <c r="Z200" s="5"/>
      <c r="AA200" s="5"/>
      <c r="AB200" s="5"/>
      <c r="AC200" s="5"/>
      <c r="AD200" s="33">
        <v>22.96</v>
      </c>
      <c r="AE200" s="5">
        <f>IF(AD200=0,(W200+4*X200+2*Y200+4*Z200+AA200)*AC200/12+W200*AB200/1.5,AD200)</f>
        <v>22.96</v>
      </c>
      <c r="AF200" s="11"/>
      <c r="AG200" s="11"/>
      <c r="AH200" s="5">
        <f>IF(AC200=0,AE200+AF200*AG200/2,AE200+AC200*AG200/2)</f>
        <v>22.96</v>
      </c>
      <c r="AI200" s="3"/>
      <c r="AJ200" s="3"/>
      <c r="AK200" s="33">
        <v>12.24</v>
      </c>
      <c r="AL200" s="5">
        <f>IF(AK200=0,AI200*AJ200/2,AK200)</f>
        <v>12.24</v>
      </c>
      <c r="AM200" t="s" s="19">
        <v>154</v>
      </c>
      <c r="AN200" s="5"/>
      <c r="AO200" s="5"/>
      <c r="AP200" s="5">
        <f>AL200+AI200*(AN200-AO200)/2</f>
        <v>12.24</v>
      </c>
      <c r="AQ200" s="5">
        <f>0.1*(AE200+AL200)</f>
        <v>3.52</v>
      </c>
      <c r="AR200" s="11">
        <v>10.5</v>
      </c>
      <c r="AS200" s="11"/>
      <c r="AT200" s="11"/>
      <c r="AU200" s="11"/>
      <c r="AV200" s="33"/>
      <c r="AW200" s="5">
        <f>IF(AV200=0,AS200/6*(AT200+AU200*4),AV200)</f>
        <v>0</v>
      </c>
      <c r="AX200" s="11"/>
      <c r="AY200" s="5">
        <f>IF(AX200&lt;0.149*M200+0.329,1,AX200/(0.149*M200+0.329))</f>
        <v>1</v>
      </c>
      <c r="AZ200" s="5">
        <f>IF(AW200*AY200&gt;AL200,(AW200*AY200-AL200)/4,0)</f>
        <v>0</v>
      </c>
      <c r="BA200" s="12">
        <f>0.401+0.1831*(2*AR200^2/(AH200+AP200+AZ200))-0.02016*(2*AR200^2/(AH200+AP200+AZ200))^2+0.0007472*(2*AR200^2/(AH200+AP200+AZ200))^3</f>
        <v>0.9405607285910134</v>
      </c>
      <c r="BB200" s="3"/>
      <c r="BC200" s="3"/>
      <c r="BD200" s="3"/>
      <c r="BE200" s="3"/>
      <c r="BF200" s="33">
        <v>38.8</v>
      </c>
      <c r="BG200" s="5">
        <v>26</v>
      </c>
      <c r="BH200" s="5">
        <f>IF(BG200*AY200&gt;AL200+AZ200,BG200*AY200-AL200-AZ200,0)</f>
        <v>13.76</v>
      </c>
      <c r="BI200" s="5">
        <f>IF(M200/1.6&lt;8,ROUND(M200/1.6,0),8)</f>
        <v>5</v>
      </c>
      <c r="BJ200" s="5">
        <f>(AH200+AP200+AZ200)*BA200+0.1*BH200</f>
        <v>34.48373764640367</v>
      </c>
      <c r="BK200" s="11">
        <v>1.5</v>
      </c>
      <c r="BL200" s="5">
        <f>M200*0.2</f>
        <v>1.6</v>
      </c>
      <c r="BM200" s="5">
        <f>ROUNDDOWN(M200/2.13,0)</f>
        <v>3</v>
      </c>
      <c r="BN200" s="12">
        <f>M200/4.26</f>
        <v>1.877934272300469</v>
      </c>
      <c r="BO200" s="5">
        <f>IF(M200&lt;8,1.22,IF(M200&lt;15.2,0.108333*M200+0.353,2))</f>
        <v>1.219664</v>
      </c>
      <c r="BP200" s="12">
        <f>IF(BK200&lt;BO200,1+0.3*(BO200-BK200)/M200,1)</f>
        <v>1</v>
      </c>
      <c r="BQ200" s="32"/>
      <c r="BR200" s="32"/>
      <c r="BS200" t="s" s="24">
        <v>154</v>
      </c>
      <c r="BT200" s="36"/>
      <c r="BU200" s="36"/>
      <c r="BV200" s="5">
        <f>IF(BQ200&lt;(M200/0.3048)^0.5,1,IF(BU200="x",1-BR200*0.02,IF(BT200="x",1-BR200*0.01,1)))</f>
        <v>1</v>
      </c>
      <c r="BW200" s="12">
        <f>IF(K200="x",MIN(1.315,1.28+U200*N200/BJ200/AR200/1100),IF(L200="x",1.28,MAX(1.245,1.28-U200*N200/BJ200/AR200/1100)))</f>
        <v>1.306232328811465</v>
      </c>
      <c r="BX200" s="41">
        <f>BW200*T200*BV200*BP200*N200^0.3*BJ200^0.4/V200^0.325</f>
        <v>0.9680130751569404</v>
      </c>
      <c r="BY200" s="29"/>
      <c r="BZ200" s="29"/>
      <c r="CA200" t="s" s="19">
        <v>162</v>
      </c>
      <c r="CB200" s="42">
        <v>1995</v>
      </c>
      <c r="CC200" t="s" s="19">
        <v>254</v>
      </c>
      <c r="CD200" s="3"/>
      <c r="CE200" s="3"/>
      <c r="CF200" s="3"/>
      <c r="CG200" t="s" s="30">
        <f>A200</f>
        <v>1302</v>
      </c>
    </row>
    <row r="201" ht="12.75" customHeight="1">
      <c r="A201" t="s" s="25">
        <v>1303</v>
      </c>
      <c r="B201" t="s" s="19">
        <v>898</v>
      </c>
      <c r="C201" t="s" s="19">
        <v>899</v>
      </c>
      <c r="D201" t="s" s="19">
        <v>900</v>
      </c>
      <c r="E201" t="s" s="19">
        <v>1304</v>
      </c>
      <c r="F201" t="s" s="19">
        <v>1305</v>
      </c>
      <c r="G201" s="42">
        <v>46</v>
      </c>
      <c r="H201" s="32"/>
      <c r="I201" s="32"/>
      <c r="J201" s="36"/>
      <c r="K201" t="s" s="24">
        <v>154</v>
      </c>
      <c r="L201" s="36"/>
      <c r="M201" s="11">
        <v>6.72</v>
      </c>
      <c r="N201" s="5">
        <v>6.67</v>
      </c>
      <c r="O201" s="11">
        <v>4.8</v>
      </c>
      <c r="P201" s="11"/>
      <c r="Q201" t="s" s="24">
        <v>903</v>
      </c>
      <c r="R201" s="36"/>
      <c r="S201" s="36"/>
      <c r="T201" s="38">
        <f>IF(S201&gt;0,1.048,IF(R201&gt;0,1.048,IF(Q201&gt;0,1.036,0.907+1.55*(P201/N201)-4.449*(P201/N201)^2)))</f>
        <v>1.036</v>
      </c>
      <c r="U201" s="39">
        <v>465</v>
      </c>
      <c r="V201" s="40">
        <f>IF(H201="x",75+U201,IF(M201&lt;6.66,150+U201,-1.7384*M201^2+92.38*M201-388+U201))</f>
        <v>619.2902374399999</v>
      </c>
      <c r="W201" s="5"/>
      <c r="X201" s="5"/>
      <c r="Y201" s="5"/>
      <c r="Z201" s="5"/>
      <c r="AA201" s="5"/>
      <c r="AB201" s="5"/>
      <c r="AC201" s="5">
        <v>9.140000000000001</v>
      </c>
      <c r="AD201" s="33">
        <v>20.48</v>
      </c>
      <c r="AE201" s="5">
        <f>IF(AD201=0,(W201+4*X201+2*Y201+4*Z201+AA201)*AC201/12+W201*AB201/1.5,AD201)</f>
        <v>20.48</v>
      </c>
      <c r="AF201" s="11">
        <v>10</v>
      </c>
      <c r="AG201" s="11">
        <v>0.37</v>
      </c>
      <c r="AH201" s="5">
        <f>IF(AC201=0,AE201+AF201*AG201/2,AE201+AC201*AG201/2)</f>
        <v>22.1709</v>
      </c>
      <c r="AI201" s="5">
        <v>8.5</v>
      </c>
      <c r="AJ201" s="3"/>
      <c r="AK201" s="33">
        <v>8.42</v>
      </c>
      <c r="AL201" s="5">
        <f>IF(AK201=0,AI201*AJ201/2,AK201)</f>
        <v>8.42</v>
      </c>
      <c r="AM201" t="s" s="19">
        <v>154</v>
      </c>
      <c r="AN201" s="5"/>
      <c r="AO201" s="5"/>
      <c r="AP201" s="5">
        <f>AL201+AI201*(AN201-AO201)/2</f>
        <v>8.42</v>
      </c>
      <c r="AQ201" s="5">
        <f>0.1*(AE201+AL201)</f>
        <v>2.89</v>
      </c>
      <c r="AR201" s="11">
        <v>10.04</v>
      </c>
      <c r="AS201" s="11"/>
      <c r="AT201" s="11"/>
      <c r="AU201" s="11"/>
      <c r="AV201" s="33">
        <v>20.3</v>
      </c>
      <c r="AW201" s="5">
        <f>IF(AV201=0,AS201/6*(AT201+AU201*4),AV201)</f>
        <v>20.3</v>
      </c>
      <c r="AX201" s="11">
        <v>0</v>
      </c>
      <c r="AY201" s="5">
        <f>IF(AX201&lt;0.149*M201+0.329,1,AX201/(0.149*M201+0.329))</f>
        <v>1</v>
      </c>
      <c r="AZ201" s="5">
        <f>IF(AW201*AY201&gt;AL201,(AW201*AY201-AL201)/4,0)</f>
        <v>2.97</v>
      </c>
      <c r="BA201" s="12">
        <f>0.401+0.1831*(2*AR201^2/(AH201+AP201+AZ201))-0.02016*(2*AR201^2/(AH201+AP201+AZ201))^2+0.0007472*(2*AR201^2/(AH201+AP201+AZ201))^3</f>
        <v>0.9353898798635334</v>
      </c>
      <c r="BB201" s="3"/>
      <c r="BC201" s="3"/>
      <c r="BD201" s="3"/>
      <c r="BE201" s="3"/>
      <c r="BF201" s="33"/>
      <c r="BG201" s="5">
        <f>IF(BF201=0,(BC201+BD201)*(BB201/12+BE201/3),BF201)</f>
        <v>0</v>
      </c>
      <c r="BH201" s="5">
        <f>IF(BG201*AY201&gt;AL201+AZ201,BG201*AY201-AL201-AZ201,0)</f>
        <v>0</v>
      </c>
      <c r="BI201" s="5">
        <f>IF(M201/1.6&lt;8,ROUND(M201/1.6,0),8)</f>
        <v>4</v>
      </c>
      <c r="BJ201" s="5">
        <f>(AH201+AP201+AZ201)*BA201+0.1*BH201</f>
        <v>31.39252621911205</v>
      </c>
      <c r="BK201" s="11">
        <v>1.02</v>
      </c>
      <c r="BL201" s="5">
        <f>M201*0.2</f>
        <v>1.344</v>
      </c>
      <c r="BM201" s="5">
        <f>ROUNDDOWN(M201/2.13,0)</f>
        <v>3</v>
      </c>
      <c r="BN201" s="12">
        <f>M201/4.26</f>
        <v>1.577464788732394</v>
      </c>
      <c r="BO201" s="5">
        <f>IF(M201&lt;8,1.22,IF(M201&lt;15.2,0.108333*M201+0.353,2))</f>
        <v>1.22</v>
      </c>
      <c r="BP201" s="12">
        <f>IF(BK201&lt;BO201,1+0.3*(BO201-BK201)/M201,1)</f>
        <v>1.008928571428571</v>
      </c>
      <c r="BQ201" s="32"/>
      <c r="BR201" s="32"/>
      <c r="BS201" t="s" s="24">
        <v>154</v>
      </c>
      <c r="BT201" s="36"/>
      <c r="BU201" s="36"/>
      <c r="BV201" s="5">
        <f>IF(BQ201&lt;(M201/0.3048)^0.5,1,IF(BU201="x",1-BR201*0.02,IF(BT201="x",1-BR201*0.01,1)))</f>
        <v>1</v>
      </c>
      <c r="BW201" s="12">
        <f>IF(K201="x",MIN(1.315,1.28+U201*N201/BJ201/AR201/1100),IF(L201="x",1.28,MAX(1.245,1.28-U201*N201/BJ201/AR201/1100)))</f>
        <v>1.288945942927857</v>
      </c>
      <c r="BX201" s="41">
        <f>BW201*T201*BV201*BP201*N201^0.3*BJ201^0.4/V201^0.325</f>
        <v>1.169654269795939</v>
      </c>
      <c r="BY201" s="29"/>
      <c r="BZ201" s="29"/>
      <c r="CA201" t="s" s="19">
        <v>188</v>
      </c>
      <c r="CB201" t="s" s="19">
        <v>1239</v>
      </c>
      <c r="CC201" t="s" s="19">
        <v>905</v>
      </c>
      <c r="CD201" s="3"/>
      <c r="CE201" s="3"/>
      <c r="CF201" s="3"/>
      <c r="CG201" t="s" s="30">
        <f>A201</f>
        <v>1306</v>
      </c>
    </row>
    <row r="202" ht="12.75" customHeight="1">
      <c r="A202" t="s" s="25">
        <v>1307</v>
      </c>
      <c r="B202" t="s" s="19">
        <v>1308</v>
      </c>
      <c r="C202" t="s" s="19">
        <v>1176</v>
      </c>
      <c r="D202" t="s" s="19">
        <v>1177</v>
      </c>
      <c r="E202" t="s" s="19">
        <v>1309</v>
      </c>
      <c r="F202" s="3"/>
      <c r="G202" s="3"/>
      <c r="H202" s="32"/>
      <c r="I202" s="32"/>
      <c r="J202" s="36"/>
      <c r="K202" t="s" s="24">
        <v>154</v>
      </c>
      <c r="L202" s="36"/>
      <c r="M202" s="11">
        <v>7.9</v>
      </c>
      <c r="N202" s="5">
        <v>7.72</v>
      </c>
      <c r="O202" s="11"/>
      <c r="P202" s="11"/>
      <c r="Q202" s="37"/>
      <c r="R202" t="s" s="24">
        <v>1310</v>
      </c>
      <c r="S202" s="36"/>
      <c r="T202" s="38">
        <f>IF(S202&gt;0,1.048,IF(R202&gt;0,1.048,IF(Q202&gt;0,1.036,0.907+1.55*(P202/N202)-4.449*(P202/N202)^2)))</f>
        <v>1.048</v>
      </c>
      <c r="U202" s="39">
        <v>1025</v>
      </c>
      <c r="V202" s="40">
        <f>IF(H202="x",75+U202,IF(M202&lt;6.66,150+U202,-1.7384*M202^2+92.38*M202-388+U202))</f>
        <v>1258.308456</v>
      </c>
      <c r="W202" s="5"/>
      <c r="X202" s="5"/>
      <c r="Y202" s="5"/>
      <c r="Z202" s="5"/>
      <c r="AA202" s="5"/>
      <c r="AB202" s="5"/>
      <c r="AC202" s="5"/>
      <c r="AD202" s="33">
        <v>21.06</v>
      </c>
      <c r="AE202" s="5">
        <f>IF(AD202=0,(W202+4*X202+2*Y202+4*Z202+AA202)*AC202/12+W202*AB202/1.5,AD202)</f>
        <v>21.06</v>
      </c>
      <c r="AF202" s="11"/>
      <c r="AG202" s="11"/>
      <c r="AH202" s="5">
        <f>IF(AC202=0,AE202+AF202*AG202/2,AE202+AC202*AG202/2)</f>
        <v>21.06</v>
      </c>
      <c r="AI202" s="3"/>
      <c r="AJ202" s="3"/>
      <c r="AK202" s="33">
        <v>13.92</v>
      </c>
      <c r="AL202" s="5">
        <f>IF(AK202=0,AI202*AJ202/2,AK202)</f>
        <v>13.92</v>
      </c>
      <c r="AM202" s="3"/>
      <c r="AN202" s="5"/>
      <c r="AO202" s="5"/>
      <c r="AP202" s="5">
        <f>AL202+AI202*(AN202-AO202)/2</f>
        <v>13.92</v>
      </c>
      <c r="AQ202" s="5">
        <f>0.1*(AE202+AL202)</f>
        <v>3.498</v>
      </c>
      <c r="AR202" s="11">
        <v>11.2</v>
      </c>
      <c r="AS202" s="11"/>
      <c r="AT202" s="11"/>
      <c r="AU202" s="11"/>
      <c r="AV202" s="33"/>
      <c r="AW202" s="5">
        <f>IF(AV202=0,AS202/6*(AT202+AU202*4),AV202)</f>
        <v>0</v>
      </c>
      <c r="AX202" s="11">
        <v>1.05</v>
      </c>
      <c r="AY202" s="5">
        <f>IF(AX202&lt;0.149*M202+0.329,1,AX202/(0.149*M202+0.329))</f>
        <v>1</v>
      </c>
      <c r="AZ202" s="5">
        <f>IF(AW202*AY202&gt;AL202,(AW202*AY202-AL202)/4,0)</f>
        <v>0</v>
      </c>
      <c r="BA202" s="12">
        <f>0.401+0.1831*(2*AR202^2/(AH202+AP202+AZ202))-0.02016*(2*AR202^2/(AH202+AP202+AZ202))^2+0.0007472*(2*AR202^2/(AH202+AP202+AZ202))^3</f>
        <v>0.9528622293145432</v>
      </c>
      <c r="BB202" s="3"/>
      <c r="BC202" s="3"/>
      <c r="BD202" s="3"/>
      <c r="BE202" s="3"/>
      <c r="BF202" s="33">
        <v>30.09</v>
      </c>
      <c r="BG202" s="5">
        <v>26</v>
      </c>
      <c r="BH202" s="5">
        <f>IF(BG202*AY202&gt;AL202+AZ202,BG202*AY202-AL202-AZ202,0)</f>
        <v>12.08</v>
      </c>
      <c r="BI202" s="5">
        <f>IF(M202/1.6&lt;8,ROUND(M202/1.6,0),8)</f>
        <v>5</v>
      </c>
      <c r="BJ202" s="5">
        <f>(AH202+AP202+AZ202)*BA202+0.1*BH202</f>
        <v>34.53912078142272</v>
      </c>
      <c r="BK202" s="11">
        <v>1.7</v>
      </c>
      <c r="BL202" s="5">
        <f>M202*0.2</f>
        <v>1.58</v>
      </c>
      <c r="BM202" s="5">
        <f>ROUNDDOWN(M202/2.13,0)</f>
        <v>3</v>
      </c>
      <c r="BN202" s="12">
        <f>M202/4.26</f>
        <v>1.854460093896714</v>
      </c>
      <c r="BO202" s="5">
        <f>IF(M202&lt;8,1.22,IF(M202&lt;15.2,0.108333*M202+0.353,2))</f>
        <v>1.22</v>
      </c>
      <c r="BP202" s="12">
        <f>IF(BK202&lt;BO202,1+0.3*(BO202-BK202)/M202,1)</f>
        <v>1</v>
      </c>
      <c r="BQ202" s="32"/>
      <c r="BR202" s="39">
        <v>0</v>
      </c>
      <c r="BS202" t="s" s="24">
        <v>154</v>
      </c>
      <c r="BT202" s="36"/>
      <c r="BU202" s="36"/>
      <c r="BV202" s="5">
        <f>IF(BQ202&lt;(M202/0.3048)^0.5,1,IF(BU202="x",1-BR202*0.02,IF(BT202="x",1-BR202*0.01,1)))</f>
        <v>1</v>
      </c>
      <c r="BW202" s="12">
        <f>IF(K202="x",MIN(1.315,1.28+U202*N202/BJ202/AR202/1100),IF(L202="x",1.28,MAX(1.245,1.28-U202*N202/BJ202/AR202/1100)))</f>
        <v>1.298595984683676</v>
      </c>
      <c r="BX202" s="41">
        <f>BW202*T202*BV202*BP202*N202^0.3*BJ202^0.4/V202^0.325</f>
        <v>1.018624757092584</v>
      </c>
      <c r="BY202" s="29"/>
      <c r="BZ202" s="29"/>
      <c r="CA202" t="s" s="19">
        <v>162</v>
      </c>
      <c r="CB202" t="s" s="19">
        <v>1311</v>
      </c>
      <c r="CC202" t="s" s="19">
        <v>180</v>
      </c>
      <c r="CD202" s="3"/>
      <c r="CE202" s="3"/>
      <c r="CF202" s="3"/>
      <c r="CG202" t="s" s="30">
        <f>A202</f>
        <v>1312</v>
      </c>
    </row>
    <row r="203" ht="12.75" customHeight="1">
      <c r="A203" t="s" s="53">
        <v>1313</v>
      </c>
      <c r="B203" t="s" s="54">
        <v>257</v>
      </c>
      <c r="C203" t="s" s="54">
        <v>1314</v>
      </c>
      <c r="D203" t="s" s="54">
        <v>1314</v>
      </c>
      <c r="E203" t="s" s="54">
        <v>1315</v>
      </c>
      <c r="F203" s="55"/>
      <c r="G203" t="s" s="54">
        <v>1316</v>
      </c>
      <c r="H203" s="56"/>
      <c r="I203" s="56"/>
      <c r="J203" s="57"/>
      <c r="K203" t="s" s="58">
        <v>154</v>
      </c>
      <c r="L203" s="57"/>
      <c r="M203" s="59">
        <v>9.1</v>
      </c>
      <c r="N203" s="60">
        <v>9.109999999999999</v>
      </c>
      <c r="O203" s="59">
        <v>7.25</v>
      </c>
      <c r="P203" s="59"/>
      <c r="Q203" s="61"/>
      <c r="R203" s="77">
        <v>1.8</v>
      </c>
      <c r="S203" s="57"/>
      <c r="T203" s="63">
        <f>IF(S203&gt;0,1.048,IF(R203&gt;0,1.048,IF(Q203&gt;0,1.036,0.907+1.55*(P203/N203)-4.449*(P203/N203)^2)))</f>
        <v>1.048</v>
      </c>
      <c r="U203" s="62">
        <v>1424</v>
      </c>
      <c r="V203" s="64">
        <f>IF(H203="x",75+U203,IF(M203&lt;6.66,150+U203,-1.7384*M203^2+92.38*M203-388+U203))</f>
        <v>1732.701096</v>
      </c>
      <c r="W203" s="60">
        <v>4.45</v>
      </c>
      <c r="X203" s="60">
        <v>4.25</v>
      </c>
      <c r="Y203" s="60">
        <v>3.85</v>
      </c>
      <c r="Z203" s="60">
        <v>3.03</v>
      </c>
      <c r="AA203" s="60">
        <v>0.32</v>
      </c>
      <c r="AB203" s="60">
        <v>0.1</v>
      </c>
      <c r="AC203" s="60">
        <v>11.61</v>
      </c>
      <c r="AD203" s="65"/>
      <c r="AE203" s="60">
        <f>IF(AD203=0,(W203+4*X203+2*Y203+4*Z203+AA203)*AC203/12+W203*AB203/1.5,AD203)</f>
        <v>40.53499166666666</v>
      </c>
      <c r="AF203" s="59"/>
      <c r="AG203" s="59">
        <v>0.49</v>
      </c>
      <c r="AH203" s="60">
        <f>IF(AC203=0,AE203+AF203*AG203/2,AE203+AC203*AG203/2)</f>
        <v>43.37944166666666</v>
      </c>
      <c r="AI203" s="60">
        <v>11.23</v>
      </c>
      <c r="AJ203" s="60">
        <v>2.5</v>
      </c>
      <c r="AK203" s="65"/>
      <c r="AL203" s="60">
        <f>IF(AK203=0,AI203*AJ203/2,AK203)</f>
        <v>14.0375</v>
      </c>
      <c r="AM203" t="s" s="54">
        <v>154</v>
      </c>
      <c r="AN203" s="60"/>
      <c r="AO203" s="60"/>
      <c r="AP203" s="60">
        <f>AL203+AI203*(AN203-AO203)/2</f>
        <v>14.0375</v>
      </c>
      <c r="AQ203" s="60">
        <f>0.1*(AE203+AL203)</f>
        <v>5.457249166666667</v>
      </c>
      <c r="AR203" s="59">
        <v>12.72</v>
      </c>
      <c r="AS203" s="59"/>
      <c r="AT203" s="59"/>
      <c r="AU203" s="59"/>
      <c r="AV203" s="65"/>
      <c r="AW203" s="5">
        <f>IF(AV203=0,AS203/6*(AT203+AU203*4),AV203)</f>
        <v>0</v>
      </c>
      <c r="AX203" s="59">
        <v>1.48</v>
      </c>
      <c r="AY203" s="60">
        <f>IF(AX203&lt;0.149*M203+0.329,1,AX203/(0.149*M203+0.329))</f>
        <v>1</v>
      </c>
      <c r="AZ203" s="5">
        <f>IF(AW203*AY203&gt;AL203,(AW203*AY203-AL203)/4,0)</f>
        <v>0</v>
      </c>
      <c r="BA203" s="66">
        <f>0.401+0.1831*(2*AR203^2/(AH203+AP203+AZ203))-0.02016*(2*AR203^2/(AH203+AP203+AZ203))^2+0.0007472*(2*AR203^2/(AH203+AP203+AZ203))^3</f>
        <v>0.9263442203601766</v>
      </c>
      <c r="BB203" s="60">
        <v>6.96</v>
      </c>
      <c r="BC203" s="60">
        <v>12.45</v>
      </c>
      <c r="BD203" s="60">
        <v>9.92</v>
      </c>
      <c r="BE203" s="60">
        <v>6.5</v>
      </c>
      <c r="BF203" s="65"/>
      <c r="BG203" s="60">
        <f>IF(BF203=0,(BC203+BD203)*(BB203/12+BE203/3),BF203)</f>
        <v>61.44293333333332</v>
      </c>
      <c r="BH203" s="60">
        <f>IF(BG203*AY203&gt;AL203+AZ203,BG203*AY203-AL203-AZ203,0)</f>
        <v>47.40543333333332</v>
      </c>
      <c r="BI203" s="60">
        <f>IF(M203/1.6&lt;8,ROUND(M203/1.6,0),8)</f>
        <v>6</v>
      </c>
      <c r="BJ203" s="60">
        <f>(AH203+AP203+AZ203)*BA203+0.1*BH203</f>
        <v>57.92839539700741</v>
      </c>
      <c r="BK203" s="59">
        <v>1.48</v>
      </c>
      <c r="BL203" s="60">
        <f>M203*0.2</f>
        <v>1.82</v>
      </c>
      <c r="BM203" s="60">
        <f>ROUNDDOWN(M203/2.13,0)</f>
        <v>4</v>
      </c>
      <c r="BN203" s="66">
        <f>M203/4.26</f>
        <v>2.136150234741784</v>
      </c>
      <c r="BO203" s="60">
        <f>IF(M203&lt;8,1.22,IF(M203&lt;15.2,0.108333*M203+0.353,2))</f>
        <v>1.3388303</v>
      </c>
      <c r="BP203" s="66">
        <f>IF(BK203&lt;BO203,1+0.3*(BO203-BK203)/M203,1)</f>
        <v>1</v>
      </c>
      <c r="BQ203" s="56"/>
      <c r="BR203" s="56"/>
      <c r="BS203" t="s" s="58">
        <v>154</v>
      </c>
      <c r="BT203" s="57"/>
      <c r="BU203" s="57"/>
      <c r="BV203" s="60">
        <f>IF(BQ203&lt;(M203/0.3048)^0.5,1,IF(BU203="x",1-BR203*0.02,IF(BT203="x",1-BR203*0.01,1)))</f>
        <v>1</v>
      </c>
      <c r="BW203" s="66">
        <f>IF(K203="x",MIN(1.315,1.28+U203*N203/BJ203/AR203/1100),IF(L203="x",1.28,MAX(1.245,1.28-U203*N203/BJ203/AR203/1100)))</f>
        <v>1.296005051318185</v>
      </c>
      <c r="BX203" s="67">
        <f>BW203*T203*BV203*BP203*N203^0.3*BJ203^0.4/V203^0.325</f>
        <v>1.184117782613018</v>
      </c>
      <c r="BY203" s="29"/>
      <c r="BZ203" s="29"/>
      <c r="CA203" t="s" s="54">
        <v>589</v>
      </c>
      <c r="CB203" s="83">
        <v>38154</v>
      </c>
      <c r="CC203" t="s" s="19">
        <v>254</v>
      </c>
      <c r="CD203" s="3"/>
      <c r="CE203" s="3"/>
      <c r="CF203" s="3"/>
      <c r="CG203" t="s" s="30">
        <f>A203</f>
        <v>1317</v>
      </c>
    </row>
    <row r="204" ht="12.75" customHeight="1">
      <c r="A204" t="s" s="25">
        <v>1318</v>
      </c>
      <c r="B204" t="s" s="19">
        <v>1175</v>
      </c>
      <c r="C204" t="s" s="19">
        <v>1176</v>
      </c>
      <c r="D204" t="s" s="19">
        <v>1177</v>
      </c>
      <c r="E204" t="s" s="19">
        <v>1319</v>
      </c>
      <c r="F204" s="3"/>
      <c r="G204" t="s" s="19">
        <v>1320</v>
      </c>
      <c r="H204" s="32"/>
      <c r="I204" s="32"/>
      <c r="J204" s="36"/>
      <c r="K204" t="s" s="24">
        <v>154</v>
      </c>
      <c r="L204" s="36"/>
      <c r="M204" s="11">
        <v>7.9</v>
      </c>
      <c r="N204" s="5">
        <v>7.3</v>
      </c>
      <c r="O204" s="11"/>
      <c r="P204" s="11"/>
      <c r="Q204" s="37"/>
      <c r="R204" t="s" s="24">
        <v>1310</v>
      </c>
      <c r="S204" s="36"/>
      <c r="T204" s="38">
        <f>IF(S204&gt;0,1.048,IF(R204&gt;0,1.048,IF(Q204&gt;0,1.036,0.907+1.55*(P204/N204)-4.449*(P204/N204)^2)))</f>
        <v>1.048</v>
      </c>
      <c r="U204" s="39">
        <v>750</v>
      </c>
      <c r="V204" s="40">
        <f>IF(H204="x",75+U204,IF(M204&lt;6.66,150+U204,-1.7384*M204^2+92.38*M204-388+U204))</f>
        <v>983.308456</v>
      </c>
      <c r="W204" s="5"/>
      <c r="X204" s="5"/>
      <c r="Y204" s="5"/>
      <c r="Z204" s="5"/>
      <c r="AA204" s="5"/>
      <c r="AB204" s="5"/>
      <c r="AC204" s="5">
        <v>8.15</v>
      </c>
      <c r="AD204" s="33">
        <v>15.05</v>
      </c>
      <c r="AE204" s="5">
        <f>IF(AD204=0,(W204+4*X204+2*Y204+4*Z204+AA204)*AC204/12+W204*AB204/1.5,AD204)</f>
        <v>15.05</v>
      </c>
      <c r="AF204" s="11">
        <v>8.5</v>
      </c>
      <c r="AG204" s="11"/>
      <c r="AH204" s="5">
        <f>IF(AC204=0,AE204+AF204*AG204/2,AE204+AC204*AG204/2)</f>
        <v>15.05</v>
      </c>
      <c r="AI204" s="5">
        <v>7.5</v>
      </c>
      <c r="AJ204" s="3"/>
      <c r="AK204" s="33">
        <v>11.7</v>
      </c>
      <c r="AL204" s="5">
        <f>IF(AK204=0,AI204*AJ204/2,AK204)</f>
        <v>11.7</v>
      </c>
      <c r="AM204" s="3"/>
      <c r="AN204" s="5"/>
      <c r="AO204" s="5"/>
      <c r="AP204" s="5">
        <f>AL204+AI204*(AN204-AO204)/2</f>
        <v>11.7</v>
      </c>
      <c r="AQ204" s="5">
        <f>0.1*(AE204+AL204)</f>
        <v>2.675</v>
      </c>
      <c r="AR204" s="11">
        <v>8.300000000000001</v>
      </c>
      <c r="AS204" s="11"/>
      <c r="AT204" s="11"/>
      <c r="AU204" s="11"/>
      <c r="AV204" s="33"/>
      <c r="AW204" s="5">
        <f>IF(AV204=0,AS204/6*(AT204+AU204*4),AV204)</f>
        <v>0</v>
      </c>
      <c r="AX204" s="11"/>
      <c r="AY204" s="5">
        <f>IF(AX204&lt;0.149*M204+0.329,1,AX204/(0.149*M204+0.329))</f>
        <v>1</v>
      </c>
      <c r="AZ204" s="5">
        <f>IF(AW204*AY204&gt;AL204,(AW204*AY204-AL204)/4,0)</f>
        <v>0</v>
      </c>
      <c r="BA204" s="12">
        <f>0.401+0.1831*(2*AR204^2/(AH204+AP204+AZ204))-0.02016*(2*AR204^2/(AH204+AP204+AZ204))^2+0.0007472*(2*AR204^2/(AH204+AP204+AZ204))^3</f>
        <v>0.9113549330522329</v>
      </c>
      <c r="BB204" s="3"/>
      <c r="BC204" s="3"/>
      <c r="BD204" s="3"/>
      <c r="BE204" s="3"/>
      <c r="BF204" s="33"/>
      <c r="BG204" s="5">
        <v>26</v>
      </c>
      <c r="BH204" s="5">
        <f>IF(BG204*AY204&gt;AL204+AZ204,BG204*AY204-AL204-AZ204,0)</f>
        <v>14.3</v>
      </c>
      <c r="BI204" s="5">
        <f>IF(M204/1.6&lt;8,ROUND(M204/1.6,0),8)</f>
        <v>5</v>
      </c>
      <c r="BJ204" s="5">
        <f>(AH204+AP204+AZ204)*BA204+0.1*BH204</f>
        <v>25.80874445914723</v>
      </c>
      <c r="BK204" s="11">
        <v>1.25</v>
      </c>
      <c r="BL204" s="5">
        <f>M204*0.2</f>
        <v>1.58</v>
      </c>
      <c r="BM204" s="5">
        <f>ROUNDDOWN(M204/2.13,0)</f>
        <v>3</v>
      </c>
      <c r="BN204" s="12">
        <f>M204/4.26</f>
        <v>1.854460093896714</v>
      </c>
      <c r="BO204" s="5">
        <f>IF(M204&lt;8,1.22,IF(M204&lt;15.2,0.108333*M204+0.353,2))</f>
        <v>1.22</v>
      </c>
      <c r="BP204" s="12">
        <f>IF(BK204&lt;BO204,1+0.3*(BO204-BK204)/M204,1)</f>
        <v>1</v>
      </c>
      <c r="BQ204" s="32"/>
      <c r="BR204" s="39">
        <v>0</v>
      </c>
      <c r="BS204" t="s" s="24">
        <v>154</v>
      </c>
      <c r="BT204" s="36"/>
      <c r="BU204" s="36"/>
      <c r="BV204" s="5">
        <f>IF(BQ204&lt;(M204/0.3048)^0.5,1,IF(BU204="x",1-BR204*0.02,IF(BT204="x",1-BR204*0.01,1)))</f>
        <v>1</v>
      </c>
      <c r="BW204" s="12">
        <f>IF(K204="x",MIN(1.315,1.28+U204*N204/BJ204/AR204/1100),IF(L204="x",1.28,MAX(1.245,1.28-U204*N204/BJ204/AR204/1100)))</f>
        <v>1.303235202854352</v>
      </c>
      <c r="BX204" s="41">
        <f>BW204*T204*BV204*BP204*N204^0.3*BJ204^0.4/V204^0.325</f>
        <v>0.9693118403277483</v>
      </c>
      <c r="BY204" s="44">
        <v>25</v>
      </c>
      <c r="BZ204" s="29"/>
      <c r="CA204" t="s" s="19">
        <v>162</v>
      </c>
      <c r="CB204" t="s" s="19">
        <v>1321</v>
      </c>
      <c r="CC204" t="s" s="19">
        <v>164</v>
      </c>
      <c r="CD204" s="3"/>
      <c r="CE204" s="3"/>
      <c r="CF204" s="3"/>
      <c r="CG204" t="s" s="30">
        <f>A204</f>
        <v>1322</v>
      </c>
    </row>
    <row r="205" ht="12.75" customHeight="1">
      <c r="A205" t="s" s="25">
        <v>1323</v>
      </c>
      <c r="B205" t="s" s="19">
        <v>1324</v>
      </c>
      <c r="C205" t="s" s="19">
        <v>1325</v>
      </c>
      <c r="D205" t="s" s="19">
        <v>1326</v>
      </c>
      <c r="E205" t="s" s="19">
        <v>1327</v>
      </c>
      <c r="F205" t="s" s="19">
        <v>1328</v>
      </c>
      <c r="G205" t="s" s="19">
        <v>320</v>
      </c>
      <c r="H205" s="32"/>
      <c r="I205" s="32"/>
      <c r="J205" t="s" s="24">
        <v>154</v>
      </c>
      <c r="K205" s="36"/>
      <c r="L205" s="36"/>
      <c r="M205" s="11">
        <v>16.15</v>
      </c>
      <c r="N205" s="5">
        <v>16.15</v>
      </c>
      <c r="O205" s="11">
        <v>7.62</v>
      </c>
      <c r="P205" s="11"/>
      <c r="Q205" s="37"/>
      <c r="R205" s="36"/>
      <c r="S205" s="43">
        <v>1.2</v>
      </c>
      <c r="T205" s="38">
        <f>IF(S205&gt;0,1.048,IF(R205&gt;0,1.048,IF(Q205&gt;0,1.036,0.907+1.55*(P205/N205)-4.449*(P205/N205)^2)))</f>
        <v>1.048</v>
      </c>
      <c r="U205" s="39">
        <v>16000</v>
      </c>
      <c r="V205" s="40">
        <f>IF(H205="x",75+U205,IF(M205&lt;6.66,150+U205,-1.7384*M205^2+92.38*M205-388+U205))</f>
        <v>16650.523166</v>
      </c>
      <c r="W205" s="5"/>
      <c r="X205" s="5"/>
      <c r="Y205" s="5"/>
      <c r="Z205" s="5"/>
      <c r="AA205" s="5"/>
      <c r="AB205" s="5"/>
      <c r="AC205" s="5">
        <v>14.72</v>
      </c>
      <c r="AD205" s="33">
        <v>65</v>
      </c>
      <c r="AE205" s="5">
        <f>IF(AD205=0,(W205+4*X205+2*Y205+4*Z205+AA205)*AC205/12+W205*AB205/1.5,AD205)</f>
        <v>65</v>
      </c>
      <c r="AF205" s="11">
        <v>16</v>
      </c>
      <c r="AG205" s="11"/>
      <c r="AH205" s="5">
        <f>IF(AC205=0,AE205+AF205*AG205/2,AE205+AC205*AG205/2)</f>
        <v>65</v>
      </c>
      <c r="AI205" s="5">
        <v>13.4</v>
      </c>
      <c r="AJ205" s="3"/>
      <c r="AK205" s="33">
        <v>40</v>
      </c>
      <c r="AL205" s="5">
        <f>IF(AK205=0,AI205*AJ205/2,AK205)</f>
        <v>40</v>
      </c>
      <c r="AM205" s="3"/>
      <c r="AN205" s="5"/>
      <c r="AO205" s="5">
        <v>0.1</v>
      </c>
      <c r="AP205" s="5">
        <f>AL205+AI205*(AN205-AO205)/2</f>
        <v>39.33</v>
      </c>
      <c r="AQ205" s="5">
        <f>0.1*(AE205+AL205)</f>
        <v>10.5</v>
      </c>
      <c r="AR205" s="11">
        <v>16</v>
      </c>
      <c r="AS205" s="11"/>
      <c r="AT205" s="11"/>
      <c r="AU205" s="11"/>
      <c r="AV205" s="33"/>
      <c r="AW205" s="5">
        <f>IF(AV205=0,AS205/6*(AT205+AU205*4),AV205)</f>
        <v>0</v>
      </c>
      <c r="AX205" s="11"/>
      <c r="AY205" s="5">
        <f>IF(AX205&lt;0.149*M205+0.329,1,AX205/(0.149*M205+0.329))</f>
        <v>1</v>
      </c>
      <c r="AZ205" s="5">
        <f>IF(AW205*AY205&gt;AL205,(AW205*AY205-AL205)/4,0)</f>
        <v>0</v>
      </c>
      <c r="BA205" s="12">
        <f>0.401+0.1831*(2*AR205^2/(AH205+AP205+AZ205))-0.02016*(2*AR205^2/(AH205+AP205+AZ205))^2+0.0007472*(2*AR205^2/(AH205+AP205+AZ205))^3</f>
        <v>0.9023505604116812</v>
      </c>
      <c r="BB205" s="3"/>
      <c r="BC205" s="3"/>
      <c r="BD205" s="3"/>
      <c r="BE205" s="3"/>
      <c r="BF205" s="33">
        <v>120</v>
      </c>
      <c r="BG205" s="5">
        <f>IF(BF205=0,(BC205+BD205)*(BB205/12+BE205/3),BF205)</f>
        <v>120</v>
      </c>
      <c r="BH205" s="5">
        <f>IF(BG205*AY205&gt;AL205+AZ205,BG205*AY205-AL205-AZ205,0)</f>
        <v>80</v>
      </c>
      <c r="BI205" s="42">
        <f>IF(M205/1.6&lt;8,ROUND(M205/1.6,0),8)</f>
        <v>8</v>
      </c>
      <c r="BJ205" s="5">
        <f>(AH205+AP205+AZ205)*BA205+0.1*BH205</f>
        <v>102.1422339677507</v>
      </c>
      <c r="BK205" s="11">
        <v>1.9</v>
      </c>
      <c r="BL205" s="5">
        <f>M205*0.2</f>
        <v>3.23</v>
      </c>
      <c r="BM205" s="5">
        <f>ROUNDDOWN(M205/2.13,0)</f>
        <v>7</v>
      </c>
      <c r="BN205" s="12">
        <f>M205/4.26</f>
        <v>3.791079812206573</v>
      </c>
      <c r="BO205" s="5">
        <f>IF(M205&lt;8,1.22,IF(M205&lt;15.2,0.108333*M205+0.353,2))</f>
        <v>2</v>
      </c>
      <c r="BP205" s="12">
        <f>IF(BK205&lt;BO205,1+0.3*(BO205-BK205)/M205,1)</f>
        <v>1.001857585139319</v>
      </c>
      <c r="BQ205" s="39">
        <v>6.5</v>
      </c>
      <c r="BR205" s="39">
        <v>2</v>
      </c>
      <c r="BS205" s="36"/>
      <c r="BT205" t="s" s="24">
        <v>154</v>
      </c>
      <c r="BU205" s="36"/>
      <c r="BV205" s="5">
        <f>IF(BQ205&lt;(M205/0.3048)^0.5,1,IF(BU205="x",1-BR205*0.02,IF(BT205="x",1-BR205*0.01,1)))</f>
        <v>1</v>
      </c>
      <c r="BW205" s="12">
        <f>IF(K205="x",MIN(1.315,1.28+U205*N205/BJ205/AR205/1100),IF(L205="x",1.28,MAX(1.245,1.28-U205*N205/BJ205/AR205/1100)))</f>
        <v>1.245</v>
      </c>
      <c r="BX205" s="41">
        <f>BW205*T205*BV205*BP205*N205^0.3*BJ205^0.4/V205^0.325</f>
        <v>0.8137789678859012</v>
      </c>
      <c r="BY205" s="29"/>
      <c r="BZ205" s="29"/>
      <c r="CA205" t="s" s="19">
        <v>188</v>
      </c>
      <c r="CB205" t="s" s="19">
        <v>321</v>
      </c>
      <c r="CC205" s="3"/>
      <c r="CD205" s="3"/>
      <c r="CE205" s="3"/>
      <c r="CF205" s="3"/>
      <c r="CG205" t="s" s="30">
        <f>A205</f>
        <v>1329</v>
      </c>
    </row>
    <row r="206" ht="12.75" customHeight="1">
      <c r="A206" t="s" s="25">
        <v>1330</v>
      </c>
      <c r="B206" t="s" s="19">
        <v>1331</v>
      </c>
      <c r="C206" t="s" s="19">
        <v>1332</v>
      </c>
      <c r="D206" t="s" s="19">
        <v>169</v>
      </c>
      <c r="E206" t="s" s="19">
        <v>1333</v>
      </c>
      <c r="F206" s="3"/>
      <c r="G206" s="3"/>
      <c r="H206" s="32"/>
      <c r="I206" s="32"/>
      <c r="J206" t="s" s="24">
        <v>154</v>
      </c>
      <c r="K206" s="36"/>
      <c r="L206" s="36"/>
      <c r="M206" s="11">
        <v>9</v>
      </c>
      <c r="N206" s="5">
        <v>8.550000000000001</v>
      </c>
      <c r="O206" s="11">
        <v>4.7</v>
      </c>
      <c r="P206" s="11">
        <v>0.6</v>
      </c>
      <c r="Q206" s="37"/>
      <c r="R206" s="36"/>
      <c r="S206" s="36"/>
      <c r="T206" s="38">
        <f>IF(S206&gt;0,1.048,IF(R206&gt;0,1.048,IF(Q206&gt;0,1.036,0.907+1.55*(P206/N206)-4.449*(P206/N206)^2)))</f>
        <v>0.9938624192059095</v>
      </c>
      <c r="U206" s="39">
        <v>2200</v>
      </c>
      <c r="V206" s="40">
        <f>IF(H206="x",75+U206,IF(M206&lt;6.66,150+U206,-1.7384*M206^2+92.38*M206-388+U206))</f>
        <v>2502.6096</v>
      </c>
      <c r="W206" s="5"/>
      <c r="X206" s="5"/>
      <c r="Y206" s="5"/>
      <c r="Z206" s="5"/>
      <c r="AA206" s="5"/>
      <c r="AB206" s="5"/>
      <c r="AC206" s="5"/>
      <c r="AD206" s="33">
        <v>18</v>
      </c>
      <c r="AE206" s="5">
        <f>IF(AD206=0,(W206+4*X206+2*Y206+4*Z206+AA206)*AC206/12+W206*AB206/1.5,AD206)</f>
        <v>18</v>
      </c>
      <c r="AF206" s="11">
        <v>10</v>
      </c>
      <c r="AG206" s="11"/>
      <c r="AH206" s="5">
        <f>IF(AC206=0,AE206+AF206*AG206/2,AE206+AC206*AG206/2)</f>
        <v>18</v>
      </c>
      <c r="AI206" s="3"/>
      <c r="AJ206" s="3"/>
      <c r="AK206" s="33">
        <v>27</v>
      </c>
      <c r="AL206" s="5">
        <f>IF(AK206=0,AI206*AJ206/2,AK206)</f>
        <v>27</v>
      </c>
      <c r="AM206" s="3"/>
      <c r="AN206" s="5"/>
      <c r="AO206" s="5"/>
      <c r="AP206" s="5">
        <f>AL206+AI206*(AN206-AO206)/2</f>
        <v>27</v>
      </c>
      <c r="AQ206" s="5">
        <f>0.1*(AE206+AL206)</f>
        <v>4.5</v>
      </c>
      <c r="AR206" s="11">
        <v>10.9</v>
      </c>
      <c r="AS206" s="11"/>
      <c r="AT206" s="11"/>
      <c r="AU206" s="11"/>
      <c r="AV206" s="33"/>
      <c r="AW206" s="5">
        <f>IF(AV206=0,AS206/6*(AT206+AU206*4),AV206)</f>
        <v>0</v>
      </c>
      <c r="AX206" s="11"/>
      <c r="AY206" s="5">
        <f>IF(AX206&lt;0.149*M206+0.329,1,AX206/(0.149*M206+0.329))</f>
        <v>1</v>
      </c>
      <c r="AZ206" s="5">
        <f>IF(AW206*AY206&gt;AL206,(AW206*AY206-AL206)/4,0)</f>
        <v>0</v>
      </c>
      <c r="BA206" s="12">
        <f>0.401+0.1831*(2*AR206^2/(AH206+AP206+AZ206))-0.02016*(2*AR206^2/(AH206+AP206+AZ206))^2+0.0007472*(2*AR206^2/(AH206+AP206+AZ206))^3</f>
        <v>0.9157402985885671</v>
      </c>
      <c r="BB206" s="3"/>
      <c r="BC206" s="3"/>
      <c r="BD206" s="3"/>
      <c r="BE206" s="3"/>
      <c r="BF206" s="33">
        <v>47</v>
      </c>
      <c r="BG206" s="5">
        <f>IF(BF206=0,(BC206+BD206)*(BB206/12+BE206/3),BF206)</f>
        <v>47</v>
      </c>
      <c r="BH206" s="5">
        <f>IF(BG206*AY206&gt;AL206+AZ206,BG206*AY206-AL206-AZ206,0)</f>
        <v>20</v>
      </c>
      <c r="BI206" s="5">
        <f>IF(M206/1.6&lt;8,ROUND(M206/1.6,0),8)</f>
        <v>6</v>
      </c>
      <c r="BJ206" s="5">
        <f>(AH206+AP206+AZ206)*BA206+0.1*BH206</f>
        <v>43.20831343648552</v>
      </c>
      <c r="BK206" s="11">
        <v>1.9</v>
      </c>
      <c r="BL206" s="5">
        <f>M206*0.2</f>
        <v>1.8</v>
      </c>
      <c r="BM206" s="5">
        <f>ROUNDDOWN(M206/2.13,0)</f>
        <v>4</v>
      </c>
      <c r="BN206" s="12">
        <f>M206/4.26</f>
        <v>2.112676056338028</v>
      </c>
      <c r="BO206" s="5">
        <f>IF(M206&lt;8,1.22,IF(M206&lt;15.2,0.108333*M206+0.353,2))</f>
        <v>1.327997</v>
      </c>
      <c r="BP206" s="12">
        <f>IF(BK206&lt;BO206,1+0.3*(BO206-BK206)/M206,1)</f>
        <v>1</v>
      </c>
      <c r="BQ206" s="32"/>
      <c r="BR206" s="39">
        <v>0</v>
      </c>
      <c r="BS206" t="s" s="24">
        <v>154</v>
      </c>
      <c r="BT206" s="36"/>
      <c r="BU206" s="36"/>
      <c r="BV206" s="5">
        <f>IF(BQ206&lt;(M206/0.3048)^0.5,1,IF(BU206="x",1-BR206*0.02,IF(BT206="x",1-BR206*0.01,1)))</f>
        <v>1</v>
      </c>
      <c r="BW206" s="12">
        <f>IF(K206="x",MIN(1.315,1.28+U206*N206/BJ206/AR206/1100),IF(L206="x",1.28,MAX(1.245,1.28-U206*N206/BJ206/AR206/1100)))</f>
        <v>1.245</v>
      </c>
      <c r="BX206" s="41">
        <f>BW206*T206*BV206*BP206*N206^0.3*BJ206^0.4/V206^0.325</f>
        <v>0.835284882227171</v>
      </c>
      <c r="BY206" s="29"/>
      <c r="BZ206" s="29"/>
      <c r="CA206" t="s" s="19">
        <v>213</v>
      </c>
      <c r="CB206" t="s" s="19">
        <v>430</v>
      </c>
      <c r="CC206" t="s" s="19">
        <v>653</v>
      </c>
      <c r="CD206" t="s" s="19">
        <v>1334</v>
      </c>
      <c r="CE206" s="3"/>
      <c r="CF206" s="3"/>
      <c r="CG206" t="s" s="30">
        <f>A206</f>
        <v>1335</v>
      </c>
    </row>
    <row r="207" ht="12.75" customHeight="1">
      <c r="A207" t="s" s="25">
        <v>1336</v>
      </c>
      <c r="B207" t="s" s="19">
        <v>1337</v>
      </c>
      <c r="C207" t="s" s="19">
        <v>1338</v>
      </c>
      <c r="D207" t="s" s="19">
        <v>1339</v>
      </c>
      <c r="E207" t="s" s="19">
        <v>1340</v>
      </c>
      <c r="F207" t="s" s="19">
        <v>1341</v>
      </c>
      <c r="G207" s="3"/>
      <c r="H207" s="32"/>
      <c r="I207" s="32"/>
      <c r="J207" t="s" s="24">
        <v>154</v>
      </c>
      <c r="K207" s="36"/>
      <c r="L207" s="36"/>
      <c r="M207" s="11">
        <v>9.17</v>
      </c>
      <c r="N207" s="5">
        <v>9.17</v>
      </c>
      <c r="O207" s="11">
        <v>5</v>
      </c>
      <c r="P207" s="11"/>
      <c r="Q207" s="37"/>
      <c r="R207" t="s" s="24">
        <v>1342</v>
      </c>
      <c r="S207" s="36"/>
      <c r="T207" s="38">
        <f>IF(S207&gt;0,1.048,IF(R207&gt;0,1.048,IF(Q207&gt;0,1.036,0.907+1.55*(P207/N207)-4.449*(P207/N207)^2)))</f>
        <v>1.048</v>
      </c>
      <c r="U207" s="39">
        <v>2020</v>
      </c>
      <c r="V207" s="40">
        <f>IF(H207="x",75+U207,IF(M207&lt;6.66,150+U207,-1.7384*M207^2+92.38*M207-388+U207))</f>
        <v>2332.94445624</v>
      </c>
      <c r="W207" s="5"/>
      <c r="X207" s="5"/>
      <c r="Y207" s="5"/>
      <c r="Z207" s="5"/>
      <c r="AA207" s="5"/>
      <c r="AB207" s="5"/>
      <c r="AC207" s="5">
        <v>10.65</v>
      </c>
      <c r="AD207" s="33">
        <v>30.85</v>
      </c>
      <c r="AE207" s="5">
        <f>IF(AD207=0,(W207+4*X207+2*Y207+4*Z207+AA207)*AC207/12+W207*AB207/1.5,AD207)</f>
        <v>30.85</v>
      </c>
      <c r="AF207" s="11">
        <v>12.6</v>
      </c>
      <c r="AG207" s="11">
        <v>0.55</v>
      </c>
      <c r="AH207" s="5">
        <f>IF(AC207=0,AE207+AF207*AG207/2,AE207+AC207*AG207/2)</f>
        <v>33.77875</v>
      </c>
      <c r="AI207" s="5">
        <v>10.35</v>
      </c>
      <c r="AJ207" s="3"/>
      <c r="AK207" s="33">
        <v>17.17</v>
      </c>
      <c r="AL207" s="5">
        <f>IF(AK207=0,AI207*AJ207/2,AK207)</f>
        <v>17.17</v>
      </c>
      <c r="AM207" t="s" s="19">
        <v>154</v>
      </c>
      <c r="AN207" s="5"/>
      <c r="AO207" s="5"/>
      <c r="AP207" s="5">
        <f>AL207+AI207*(AN207-AO207)/2</f>
        <v>17.17</v>
      </c>
      <c r="AQ207" s="5">
        <f>0.1*(AE207+AL207)</f>
        <v>4.802</v>
      </c>
      <c r="AR207" s="11">
        <v>12.8</v>
      </c>
      <c r="AS207" s="11"/>
      <c r="AT207" s="11"/>
      <c r="AU207" s="11"/>
      <c r="AV207" s="33"/>
      <c r="AW207" s="5">
        <f>IF(AV207=0,AS207/6*(AT207+AU207*4),AV207)</f>
        <v>0</v>
      </c>
      <c r="AX207" s="11"/>
      <c r="AY207" s="5">
        <f>IF(AX207&lt;0.149*M207+0.329,1,AX207/(0.149*M207+0.329))</f>
        <v>1</v>
      </c>
      <c r="AZ207" s="5">
        <f>IF(AW207*AY207&gt;AL207,(AW207*AY207-AL207)/4,0)</f>
        <v>0</v>
      </c>
      <c r="BA207" s="12">
        <f>0.401+0.1831*(2*AR207^2/(AH207+AP207+AZ207))-0.02016*(2*AR207^2/(AH207+AP207+AZ207))^2+0.0007472*(2*AR207^2/(AH207+AP207+AZ207))^3</f>
        <v>0.9434870002570226</v>
      </c>
      <c r="BB207" s="3"/>
      <c r="BC207" s="3"/>
      <c r="BD207" s="3"/>
      <c r="BE207" s="3"/>
      <c r="BF207" s="33">
        <v>65</v>
      </c>
      <c r="BG207" s="5">
        <f>IF(BF207=0,(BC207+BD207)*(BB207/12+BE207/3),BF207)</f>
        <v>65</v>
      </c>
      <c r="BH207" s="5">
        <f>IF(BG207*AY207&gt;AL207+AZ207,BG207*AY207-AL207-AZ207,0)</f>
        <v>47.83</v>
      </c>
      <c r="BI207" s="5">
        <f>IF(M207/1.6&lt;8,ROUND(M207/1.6,0),8)</f>
        <v>6</v>
      </c>
      <c r="BJ207" s="5">
        <f>(AH207+AP207+AZ207)*BA207+0.1*BH207</f>
        <v>52.85248330434499</v>
      </c>
      <c r="BK207" s="11">
        <v>1.5</v>
      </c>
      <c r="BL207" s="5">
        <f>M207*0.2</f>
        <v>1.834</v>
      </c>
      <c r="BM207" s="5">
        <f>ROUNDDOWN(M207/2.13,0)</f>
        <v>4</v>
      </c>
      <c r="BN207" s="12">
        <f>M207/4.26</f>
        <v>2.152582159624413</v>
      </c>
      <c r="BO207" s="5">
        <f>IF(M207&lt;8,1.22,IF(M207&lt;15.2,0.108333*M207+0.353,2))</f>
        <v>1.34641361</v>
      </c>
      <c r="BP207" s="12">
        <f>IF(BK207&lt;BO207,1+0.3*(BO207-BK207)/M207,1)</f>
        <v>1</v>
      </c>
      <c r="BQ207" s="39">
        <v>5</v>
      </c>
      <c r="BR207" s="39">
        <v>0</v>
      </c>
      <c r="BS207" t="s" s="24">
        <v>154</v>
      </c>
      <c r="BT207" s="36"/>
      <c r="BU207" s="36"/>
      <c r="BV207" s="5">
        <f>IF(BQ207&lt;(M207/0.3048)^0.5,1,IF(BU207="x",1-BR207*0.02,IF(BT207="x",1-BR207*0.01,1)))</f>
        <v>1</v>
      </c>
      <c r="BW207" s="12">
        <f>IF(K207="x",MIN(1.315,1.28+U207*N207/BJ207/AR207/1100),IF(L207="x",1.28,MAX(1.245,1.28-U207*N207/BJ207/AR207/1100)))</f>
        <v>1.255108409215363</v>
      </c>
      <c r="BX207" s="41">
        <f>BW207*T207*BV207*BP207*N207^0.3*BJ207^0.4/V207^0.325</f>
        <v>1.005565933890431</v>
      </c>
      <c r="BY207" s="29"/>
      <c r="BZ207" s="29"/>
      <c r="CA207" s="3"/>
      <c r="CB207" s="3"/>
      <c r="CC207" s="3"/>
      <c r="CD207" s="3"/>
      <c r="CE207" s="3"/>
      <c r="CF207" s="3"/>
      <c r="CG207" t="s" s="30">
        <f>A207</f>
        <v>1343</v>
      </c>
    </row>
    <row r="208" ht="12.75" customHeight="1">
      <c r="A208" t="s" s="25">
        <v>1344</v>
      </c>
      <c r="B208" t="s" s="19">
        <v>1345</v>
      </c>
      <c r="C208" t="s" s="19">
        <v>304</v>
      </c>
      <c r="D208" t="s" s="19">
        <v>305</v>
      </c>
      <c r="E208" t="s" s="19">
        <v>1346</v>
      </c>
      <c r="F208" s="3"/>
      <c r="G208" s="3"/>
      <c r="H208" s="32"/>
      <c r="I208" s="32"/>
      <c r="J208" t="s" s="24">
        <v>154</v>
      </c>
      <c r="K208" s="36"/>
      <c r="L208" s="36"/>
      <c r="M208" s="11">
        <v>8</v>
      </c>
      <c r="N208" s="5">
        <v>8</v>
      </c>
      <c r="O208" s="11">
        <v>4.5</v>
      </c>
      <c r="P208" s="11">
        <v>0.7</v>
      </c>
      <c r="Q208" s="37"/>
      <c r="R208" s="36"/>
      <c r="S208" s="36"/>
      <c r="T208" s="38">
        <f>IF(S208&gt;0,1.048,IF(R208&gt;0,1.048,IF(Q208&gt;0,1.036,0.907+1.55*(P208/N208)-4.449*(P208/N208)^2)))</f>
        <v>1.008562343750</v>
      </c>
      <c r="U208" s="39">
        <v>800</v>
      </c>
      <c r="V208" s="40">
        <f>IF(H208="x",75+U208,IF(M208&lt;6.66,150+U208,-1.7384*M208^2+92.38*M208-388+U208))</f>
        <v>1039.7824</v>
      </c>
      <c r="W208" s="5"/>
      <c r="X208" s="5"/>
      <c r="Y208" s="5"/>
      <c r="Z208" s="5"/>
      <c r="AA208" s="5"/>
      <c r="AB208" s="5"/>
      <c r="AC208" s="5">
        <v>10.5</v>
      </c>
      <c r="AD208" s="33">
        <v>25</v>
      </c>
      <c r="AE208" s="5">
        <f>IF(AD208=0,(W208+4*X208+2*Y208+4*Z208+AA208)*AC208/12+W208*AB208/1.5,AD208)</f>
        <v>25</v>
      </c>
      <c r="AF208" s="11">
        <v>12.5</v>
      </c>
      <c r="AG208" s="11"/>
      <c r="AH208" s="5">
        <f>IF(AC208=0,AE208+AF208*AG208/2,AE208+AC208*AG208/2)</f>
        <v>25</v>
      </c>
      <c r="AI208" s="3"/>
      <c r="AJ208" s="3"/>
      <c r="AK208" s="33">
        <v>13</v>
      </c>
      <c r="AL208" s="5">
        <f>IF(AK208=0,AI208*AJ208/2,AK208)</f>
        <v>13</v>
      </c>
      <c r="AM208" s="3"/>
      <c r="AN208" s="5"/>
      <c r="AO208" s="5"/>
      <c r="AP208" s="5">
        <f>AL208+AI208*(AN208-AO208)/2</f>
        <v>13</v>
      </c>
      <c r="AQ208" s="5">
        <f>0.1*(AE208+AL208)</f>
        <v>3.8</v>
      </c>
      <c r="AR208" s="11">
        <v>11</v>
      </c>
      <c r="AS208" s="11"/>
      <c r="AT208" s="11"/>
      <c r="AU208" s="11"/>
      <c r="AV208" s="33">
        <v>26</v>
      </c>
      <c r="AW208" s="5">
        <f>IF(AV208=0,AS208/6*(AT208+AU208*4),AV208)</f>
        <v>26</v>
      </c>
      <c r="AX208" s="11">
        <v>0</v>
      </c>
      <c r="AY208" s="5">
        <f>IF(AX208&lt;0.149*M208+0.329,1,AX208/(0.149*M208+0.329))</f>
        <v>1</v>
      </c>
      <c r="AZ208" s="5">
        <f>IF(AW208*AY208&gt;AL208,(AW208*AY208-AL208)/4,0)</f>
        <v>3.25</v>
      </c>
      <c r="BA208" s="12">
        <f>0.401+0.1831*(2*AR208^2/(AH208+AP208+AZ208))-0.02016*(2*AR208^2/(AH208+AP208+AZ208))^2+0.0007472*(2*AR208^2/(AH208+AP208+AZ208))^3</f>
        <v>0.932197119525926</v>
      </c>
      <c r="BB208" s="3"/>
      <c r="BC208" s="3"/>
      <c r="BD208" s="3"/>
      <c r="BE208" s="3"/>
      <c r="BF208" s="33">
        <v>45</v>
      </c>
      <c r="BG208" s="5">
        <f>IF(BF208=0,(BC208+BD208)*(BB208/12+BE208/3),BF208)</f>
        <v>45</v>
      </c>
      <c r="BH208" s="5">
        <f>IF(BG208*AY208&gt;AL208+AZ208,BG208*AY208-AL208-AZ208,0)</f>
        <v>28.75</v>
      </c>
      <c r="BI208" s="5">
        <f>IF(M208/1.6&lt;8,ROUND(M208/1.6,0),8)</f>
        <v>5</v>
      </c>
      <c r="BJ208" s="5">
        <f>(AH208+AP208+AZ208)*BA208+0.1*BH208</f>
        <v>41.32813118044444</v>
      </c>
      <c r="BK208" s="11">
        <v>1.22</v>
      </c>
      <c r="BL208" s="5">
        <f>M208*0.2</f>
        <v>1.6</v>
      </c>
      <c r="BM208" s="5">
        <f>ROUNDDOWN(M208/2.13,0)</f>
        <v>3</v>
      </c>
      <c r="BN208" s="12">
        <f>M208/4.26</f>
        <v>1.877934272300469</v>
      </c>
      <c r="BO208" s="5">
        <f>IF(M208&lt;8,1.22,IF(M208&lt;15.2,0.108333*M208+0.353,2))</f>
        <v>1.219664</v>
      </c>
      <c r="BP208" s="12">
        <f>IF(BK208&lt;BO208,1+0.3*(BO208-BK208)/M208,1)</f>
        <v>1</v>
      </c>
      <c r="BQ208" s="32"/>
      <c r="BR208" s="39">
        <v>0</v>
      </c>
      <c r="BS208" t="s" s="24">
        <v>154</v>
      </c>
      <c r="BT208" s="36"/>
      <c r="BU208" s="36"/>
      <c r="BV208" s="5">
        <f>IF(BQ208&lt;(M208/0.3048)^0.5,1,IF(BU208="x",1-BR208*0.02,IF(BT208="x",1-BR208*0.01,1)))</f>
        <v>1</v>
      </c>
      <c r="BW208" s="12">
        <f>IF(K208="x",MIN(1.315,1.28+U208*N208/BJ208/AR208/1100),IF(L208="x",1.28,MAX(1.245,1.28-U208*N208/BJ208/AR208/1100)))</f>
        <v>1.267201801660826</v>
      </c>
      <c r="BX208" s="41">
        <f>BW208*T208*BV208*BP208*N208^0.3*BJ208^0.4/V208^0.325</f>
        <v>1.105267840293791</v>
      </c>
      <c r="BY208" s="29"/>
      <c r="BZ208" s="29"/>
      <c r="CA208" t="s" s="19">
        <v>213</v>
      </c>
      <c r="CB208" t="s" s="19">
        <v>430</v>
      </c>
      <c r="CC208" t="s" s="19">
        <v>180</v>
      </c>
      <c r="CD208" s="3"/>
      <c r="CE208" s="3"/>
      <c r="CF208" s="3"/>
      <c r="CG208" t="s" s="30">
        <f>A208</f>
        <v>1347</v>
      </c>
    </row>
    <row r="209" ht="12.75" customHeight="1">
      <c r="A209" t="s" s="25">
        <v>1348</v>
      </c>
      <c r="B209" t="s" s="19">
        <v>574</v>
      </c>
      <c r="C209" t="s" s="19">
        <v>1349</v>
      </c>
      <c r="D209" t="s" s="19">
        <v>1349</v>
      </c>
      <c r="E209" t="s" s="19">
        <v>1349</v>
      </c>
      <c r="F209" s="3"/>
      <c r="G209" s="3"/>
      <c r="H209" s="32"/>
      <c r="I209" s="32"/>
      <c r="J209" s="36"/>
      <c r="K209" t="s" s="24">
        <v>154</v>
      </c>
      <c r="L209" s="36"/>
      <c r="M209" s="11">
        <v>7.85</v>
      </c>
      <c r="N209" s="5">
        <v>7.85</v>
      </c>
      <c r="O209" s="11"/>
      <c r="P209" s="11"/>
      <c r="Q209" s="37"/>
      <c r="R209" t="s" s="24">
        <v>161</v>
      </c>
      <c r="S209" s="36"/>
      <c r="T209" s="38">
        <f>IF(S209&gt;0,1.048,IF(R209&gt;0,1.048,IF(Q209&gt;0,1.036,0.907+1.55*(P209/N209)-4.449*(P209/N209)^2)))</f>
        <v>1.048</v>
      </c>
      <c r="U209" s="39">
        <v>1100</v>
      </c>
      <c r="V209" s="40">
        <f>IF(H209="x",75+U209,IF(M209&lt;6.66,150+U209,-1.7384*M209^2+92.38*M209-388+U209))</f>
        <v>1330.058446</v>
      </c>
      <c r="W209" s="5"/>
      <c r="X209" s="5"/>
      <c r="Y209" s="5"/>
      <c r="Z209" s="5"/>
      <c r="AA209" s="5"/>
      <c r="AB209" s="5"/>
      <c r="AC209" s="5"/>
      <c r="AD209" s="33">
        <v>20</v>
      </c>
      <c r="AE209" s="5">
        <f>IF(AD209=0,(W209+4*X209+2*Y209+4*Z209+AA209)*AC209/12+W209*AB209/1.5,AD209)</f>
        <v>20</v>
      </c>
      <c r="AF209" s="11"/>
      <c r="AG209" s="11"/>
      <c r="AH209" s="5">
        <f>IF(AC209=0,AE209+AF209*AG209/2,AE209+AC209*AG209/2)</f>
        <v>20</v>
      </c>
      <c r="AI209" s="3"/>
      <c r="AJ209" s="3"/>
      <c r="AK209" s="33">
        <v>8</v>
      </c>
      <c r="AL209" s="5">
        <f>IF(AK209=0,AI209*AJ209/2,AK209)</f>
        <v>8</v>
      </c>
      <c r="AM209" s="3"/>
      <c r="AN209" s="5"/>
      <c r="AO209" s="5"/>
      <c r="AP209" s="5">
        <f>AL209+AI209*(AN209-AO209)/2</f>
        <v>8</v>
      </c>
      <c r="AQ209" s="5">
        <f>0.1*(AE209+AL209)</f>
        <v>2.8</v>
      </c>
      <c r="AR209" s="11">
        <v>10</v>
      </c>
      <c r="AS209" s="11"/>
      <c r="AT209" s="11"/>
      <c r="AU209" s="11"/>
      <c r="AV209" s="33"/>
      <c r="AW209" s="5">
        <f>IF(AV209=0,AS209/6*(AT209+AU209*4),AV209)</f>
        <v>0</v>
      </c>
      <c r="AX209" s="11"/>
      <c r="AY209" s="5">
        <f>IF(AX209&lt;0.149*M209+0.329,1,AX209/(0.149*M209+0.329))</f>
        <v>1</v>
      </c>
      <c r="AZ209" s="5">
        <f>IF(AW209*AY209&gt;AL209,(AW209*AY209-AL209)/4,0)</f>
        <v>0</v>
      </c>
      <c r="BA209" s="12">
        <f>0.401+0.1831*(2*AR209^2/(AH209+AP209+AZ209))-0.02016*(2*AR209^2/(AH209+AP209+AZ209))^2+0.0007472*(2*AR209^2/(AH209+AP209+AZ209))^3</f>
        <v>0.9525889212827989</v>
      </c>
      <c r="BB209" s="3"/>
      <c r="BC209" s="3"/>
      <c r="BD209" s="3"/>
      <c r="BE209" s="3"/>
      <c r="BF209" s="33">
        <v>38.44</v>
      </c>
      <c r="BG209" s="5">
        <f>IF(BF209=0,(BC209+BD209)*(BB209/12+BE209/3),BF209)</f>
        <v>38.44</v>
      </c>
      <c r="BH209" s="5">
        <f>IF(BG209*AY209&gt;AL209+AZ209,BG209*AY209-AL209-AZ209,0)</f>
        <v>30.44</v>
      </c>
      <c r="BI209" s="5">
        <f>IF(M209/1.6&lt;8,ROUND(M209/1.6,0),8)</f>
        <v>5</v>
      </c>
      <c r="BJ209" s="5">
        <f>(AH209+AP209+AZ209)*BA209+0.1*BH209</f>
        <v>29.71648979591837</v>
      </c>
      <c r="BK209" s="11">
        <v>1.22</v>
      </c>
      <c r="BL209" s="5">
        <f>M209*0.2</f>
        <v>1.57</v>
      </c>
      <c r="BM209" s="5">
        <f>ROUNDDOWN(M209/2.13,0)</f>
        <v>3</v>
      </c>
      <c r="BN209" s="12">
        <f>M209/4.26</f>
        <v>1.842723004694836</v>
      </c>
      <c r="BO209" s="5">
        <f>IF(M209&lt;8,1.22,IF(M209&lt;15.2,0.108333*M209+0.353,2))</f>
        <v>1.22</v>
      </c>
      <c r="BP209" s="12">
        <f>IF(BK209&lt;BO209,1+0.3*(BO209-BK209)/M209,1)</f>
        <v>1</v>
      </c>
      <c r="BQ209" s="32"/>
      <c r="BR209" s="32"/>
      <c r="BS209" t="s" s="24">
        <v>154</v>
      </c>
      <c r="BT209" s="36"/>
      <c r="BU209" s="36"/>
      <c r="BV209" s="5">
        <f>IF(BQ209&lt;(M209/0.3048)^0.5,1,IF(BU209="x",1-BR209*0.02,IF(BT209="x",1-BR209*0.01,1)))</f>
        <v>1</v>
      </c>
      <c r="BW209" s="12">
        <f>IF(K209="x",MIN(1.315,1.28+U209*N209/BJ209/AR209/1100),IF(L209="x",1.28,MAX(1.245,1.28-U209*N209/BJ209/AR209/1100)))</f>
        <v>1.30641630977922</v>
      </c>
      <c r="BX209" s="41">
        <f>BW209*T209*BV209*BP209*N209^0.3*BJ209^0.4/V209^0.325</f>
        <v>0.9524557121851365</v>
      </c>
      <c r="BY209" s="29"/>
      <c r="BZ209" s="29"/>
      <c r="CA209" t="s" s="19">
        <v>162</v>
      </c>
      <c r="CB209" t="s" s="19">
        <v>1311</v>
      </c>
      <c r="CC209" t="s" s="19">
        <v>164</v>
      </c>
      <c r="CD209" s="3"/>
      <c r="CE209" s="3"/>
      <c r="CF209" s="3"/>
      <c r="CG209" t="s" s="30">
        <f>A209</f>
        <v>1350</v>
      </c>
    </row>
    <row r="210" ht="12.75" customHeight="1">
      <c r="A210" t="s" s="25">
        <v>1351</v>
      </c>
      <c r="B210" t="s" s="19">
        <v>480</v>
      </c>
      <c r="C210" t="s" s="19">
        <v>193</v>
      </c>
      <c r="D210" t="s" s="19">
        <v>193</v>
      </c>
      <c r="E210" t="s" s="19">
        <v>1352</v>
      </c>
      <c r="F210" s="3"/>
      <c r="G210" t="s" s="19">
        <v>1353</v>
      </c>
      <c r="H210" s="32"/>
      <c r="I210" s="32"/>
      <c r="J210" s="36"/>
      <c r="K210" t="s" s="24">
        <v>154</v>
      </c>
      <c r="L210" s="36"/>
      <c r="M210" s="11">
        <v>8</v>
      </c>
      <c r="N210" s="5">
        <v>7.95</v>
      </c>
      <c r="O210" s="11"/>
      <c r="P210" s="11"/>
      <c r="Q210" t="s" s="24">
        <v>161</v>
      </c>
      <c r="R210" s="36"/>
      <c r="S210" s="36"/>
      <c r="T210" s="38">
        <f>IF(S210&gt;0,1.048,IF(R210&gt;0,1.048,IF(Q210&gt;0,1.036,0.907+1.55*(P210/N210)-4.449*(P210/N210)^2)))</f>
        <v>1.036</v>
      </c>
      <c r="U210" s="39">
        <v>1117</v>
      </c>
      <c r="V210" s="40">
        <f>IF(H210="x",75+U210,IF(M210&lt;6.66,150+U210,-1.7384*M210^2+92.38*M210-388+U210))</f>
        <v>1356.7824</v>
      </c>
      <c r="W210" s="5">
        <v>2.9</v>
      </c>
      <c r="X210" s="5">
        <v>2.84</v>
      </c>
      <c r="Y210" s="5">
        <v>2.56</v>
      </c>
      <c r="Z210" s="5">
        <v>2.04</v>
      </c>
      <c r="AA210" s="5">
        <v>0.74</v>
      </c>
      <c r="AB210" s="5"/>
      <c r="AC210" s="5">
        <v>10.2</v>
      </c>
      <c r="AD210" s="33"/>
      <c r="AE210" s="5">
        <f>IF(AD210=0,(W210+4*X210+2*Y210+4*Z210+AA210)*AC210/12+W210*AB210/1.5,AD210)</f>
        <v>24.038</v>
      </c>
      <c r="AF210" s="11">
        <v>11.02</v>
      </c>
      <c r="AG210" s="11">
        <v>0.42</v>
      </c>
      <c r="AH210" s="5">
        <f>IF(AC210=0,AE210+AF210*AG210/2,AE210+AC210*AG210/2)</f>
        <v>26.18</v>
      </c>
      <c r="AI210" s="5">
        <v>8.73</v>
      </c>
      <c r="AJ210" s="5">
        <v>2.79</v>
      </c>
      <c r="AK210" s="33"/>
      <c r="AL210" s="5">
        <f>IF(AK210=0,AI210*AJ210/2,AK210)</f>
        <v>12.17835</v>
      </c>
      <c r="AM210" s="3"/>
      <c r="AN210" s="5"/>
      <c r="AO210" s="5"/>
      <c r="AP210" s="5">
        <f>AL210+AI210*(AN210-AO210)/2</f>
        <v>12.17835</v>
      </c>
      <c r="AQ210" s="5">
        <f>0.1*(AE210+AL210)</f>
        <v>3.621635</v>
      </c>
      <c r="AR210" s="11">
        <v>11.02</v>
      </c>
      <c r="AS210" s="11"/>
      <c r="AT210" s="11"/>
      <c r="AU210" s="11"/>
      <c r="AV210" s="33"/>
      <c r="AW210" s="5">
        <f>IF(AV210=0,AS210/6*(AT210+AU210*4),AV210)</f>
        <v>0</v>
      </c>
      <c r="AX210" s="11"/>
      <c r="AY210" s="5">
        <f>IF(AX210&lt;0.149*M210+0.329,1,AX210/(0.149*M210+0.329))</f>
        <v>1</v>
      </c>
      <c r="AZ210" s="5">
        <f>IF(AW210*AY210&gt;AL210,(AW210*AY210-AL210)/4,0)</f>
        <v>0</v>
      </c>
      <c r="BA210" s="12">
        <f>0.401+0.1831*(2*AR210^2/(AH210+AP210+AZ210))-0.02016*(2*AR210^2/(AH210+AP210+AZ210))^2+0.0007472*(2*AR210^2/(AH210+AP210+AZ210))^3</f>
        <v>0.941784291408488</v>
      </c>
      <c r="BB210" s="5">
        <v>5.12</v>
      </c>
      <c r="BC210" s="5">
        <v>10.32</v>
      </c>
      <c r="BD210" s="5">
        <v>8.4</v>
      </c>
      <c r="BE210" s="5">
        <v>4.91</v>
      </c>
      <c r="BF210" s="33"/>
      <c r="BG210" s="5">
        <f>IF(BF210=0,(BC210+BD210)*(BB210/12+BE210/3),BF210)</f>
        <v>38.6256</v>
      </c>
      <c r="BH210" s="5">
        <f>IF(BG210*AY210&gt;AL210+AZ210,BG210*AY210-AL210-AZ210,0)</f>
        <v>26.44725</v>
      </c>
      <c r="BI210" s="5">
        <f>IF(M210/1.6&lt;8,ROUND(M210/1.6,0),8)</f>
        <v>5</v>
      </c>
      <c r="BJ210" s="5">
        <f>(AH210+AP210+AZ210)*BA210+0.1*BH210</f>
        <v>38.77001647434877</v>
      </c>
      <c r="BK210" s="11">
        <v>1.4</v>
      </c>
      <c r="BL210" s="5">
        <f>M210*0.2</f>
        <v>1.6</v>
      </c>
      <c r="BM210" s="5">
        <f>ROUNDDOWN(M210/2.13,0)</f>
        <v>3</v>
      </c>
      <c r="BN210" s="12">
        <f>M210/4.26</f>
        <v>1.877934272300469</v>
      </c>
      <c r="BO210" s="5">
        <f>IF(M210&lt;8,1.22,IF(M210&lt;15.2,0.108333*M210+0.353,2))</f>
        <v>1.219664</v>
      </c>
      <c r="BP210" s="12">
        <f>IF(BK210&lt;BO210,1+0.3*(BO210-BK210)/M210,1)</f>
        <v>1</v>
      </c>
      <c r="BQ210" s="32"/>
      <c r="BR210" s="32"/>
      <c r="BS210" t="s" s="24">
        <v>154</v>
      </c>
      <c r="BT210" s="36"/>
      <c r="BU210" s="36"/>
      <c r="BV210" s="5">
        <f>IF(BQ210&lt;(M210/0.3048)^0.5,1,IF(BU210="x",1-BR210*0.02,IF(BT210="x",1-BR210*0.01,1)))</f>
        <v>1</v>
      </c>
      <c r="BW210" s="12">
        <f>IF(K210="x",MIN(1.315,1.28+U210*N210/BJ210/AR210/1100),IF(L210="x",1.28,MAX(1.245,1.28-U210*N210/BJ210/AR210/1100)))</f>
        <v>1.298895136626403</v>
      </c>
      <c r="BX210" s="41">
        <f>BW210*T210*BV210*BP210*N210^0.3*BJ210^0.4/V210^0.325</f>
        <v>1.038428415170453</v>
      </c>
      <c r="BY210" s="29"/>
      <c r="BZ210" s="29"/>
      <c r="CA210" t="s" s="19">
        <v>162</v>
      </c>
      <c r="CB210" s="42">
        <v>1997</v>
      </c>
      <c r="CC210" t="s" s="19">
        <v>254</v>
      </c>
      <c r="CD210" t="s" s="19">
        <v>415</v>
      </c>
      <c r="CE210" s="3"/>
      <c r="CF210" s="3"/>
      <c r="CG210" t="s" s="30">
        <f>A210</f>
        <v>1354</v>
      </c>
    </row>
    <row r="211" ht="12.75" customHeight="1">
      <c r="A211" t="s" s="25">
        <v>1355</v>
      </c>
      <c r="B211" t="s" s="19">
        <v>1356</v>
      </c>
      <c r="C211" t="s" s="19">
        <v>367</v>
      </c>
      <c r="D211" t="s" s="19">
        <v>1357</v>
      </c>
      <c r="E211" t="s" s="19">
        <v>1358</v>
      </c>
      <c r="F211" s="3"/>
      <c r="G211" s="3"/>
      <c r="H211" s="32"/>
      <c r="I211" s="32"/>
      <c r="J211" t="s" s="24">
        <v>154</v>
      </c>
      <c r="K211" s="36"/>
      <c r="L211" s="36"/>
      <c r="M211" s="11">
        <v>10.2</v>
      </c>
      <c r="N211" s="5">
        <v>10.2</v>
      </c>
      <c r="O211" s="11">
        <v>6.1</v>
      </c>
      <c r="P211" s="11">
        <v>0.7</v>
      </c>
      <c r="Q211" s="37"/>
      <c r="R211" s="36"/>
      <c r="S211" s="36"/>
      <c r="T211" s="38">
        <f>IF(S211&gt;0,1.048,IF(R211&gt;0,1.048,IF(Q211&gt;0,1.036,0.907+1.55*(P211/N211)-4.449*(P211/N211)^2)))</f>
        <v>0.9924189734717417</v>
      </c>
      <c r="U211" s="39">
        <v>2400</v>
      </c>
      <c r="V211" s="40">
        <f>IF(H211="x",75+U211,IF(M211&lt;6.66,150+U211,-1.7384*M211^2+92.38*M211-388+U211))</f>
        <v>2773.412864</v>
      </c>
      <c r="W211" s="5">
        <v>4.2</v>
      </c>
      <c r="X211" s="5">
        <v>3.97</v>
      </c>
      <c r="Y211" s="5">
        <v>3.7</v>
      </c>
      <c r="Z211" s="5">
        <v>2.7</v>
      </c>
      <c r="AA211" s="5">
        <v>0.12</v>
      </c>
      <c r="AB211" s="5">
        <v>0.05</v>
      </c>
      <c r="AC211" s="5">
        <v>12.2</v>
      </c>
      <c r="AD211" s="33"/>
      <c r="AE211" s="5">
        <f>IF(AD211=0,(W211+4*X211+2*Y211+4*Z211+AA211)*AC211/12+W211*AB211/1.5,AD211)</f>
        <v>39.18</v>
      </c>
      <c r="AF211" s="11">
        <v>14</v>
      </c>
      <c r="AG211" s="11"/>
      <c r="AH211" s="5">
        <f>IF(AC211=0,AE211+AF211*AG211/2,AE211+AC211*AG211/2)</f>
        <v>39.18</v>
      </c>
      <c r="AI211" s="3"/>
      <c r="AJ211" s="3"/>
      <c r="AK211" s="33">
        <v>22</v>
      </c>
      <c r="AL211" s="5">
        <f>IF(AK211=0,AI211*AJ211/2,AK211)</f>
        <v>22</v>
      </c>
      <c r="AM211" s="3"/>
      <c r="AN211" s="5"/>
      <c r="AO211" s="5"/>
      <c r="AP211" s="5">
        <f>AL211+AI211*(AN211-AO211)/2</f>
        <v>22</v>
      </c>
      <c r="AQ211" s="5">
        <f>0.1*(AE211+AL211)</f>
        <v>6.118</v>
      </c>
      <c r="AR211" s="11">
        <v>14</v>
      </c>
      <c r="AS211" s="11"/>
      <c r="AT211" s="11"/>
      <c r="AU211" s="11"/>
      <c r="AV211" s="33"/>
      <c r="AW211" s="5">
        <f>IF(AV211=0,AS211/6*(AT211+AU211*4),AV211)</f>
        <v>0</v>
      </c>
      <c r="AX211" s="11">
        <v>0</v>
      </c>
      <c r="AY211" s="5">
        <f>IF(AX211&lt;0.149*M211+0.329,1,AX211/(0.149*M211+0.329))</f>
        <v>1</v>
      </c>
      <c r="AZ211" s="5">
        <f>IF(AW211*AY211&gt;AL211,(AW211*AY211-AL211)/4,0)</f>
        <v>0</v>
      </c>
      <c r="BA211" s="12">
        <f>0.401+0.1831*(2*AR211^2/(AH211+AP211+AZ211))-0.02016*(2*AR211^2/(AH211+AP211+AZ211))^2+0.0007472*(2*AR211^2/(AH211+AP211+AZ211))^3</f>
        <v>0.9430836034190222</v>
      </c>
      <c r="BB211" s="3"/>
      <c r="BC211" s="3"/>
      <c r="BD211" s="3"/>
      <c r="BE211" s="3"/>
      <c r="BF211" s="33">
        <v>80</v>
      </c>
      <c r="BG211" s="5">
        <f>IF(BF211=0,(BC211+BD211)*(BB211/12+BE211/3),BF211)</f>
        <v>80</v>
      </c>
      <c r="BH211" s="5">
        <f>IF(BG211*AY211&gt;AL211+AZ211,BG211*AY211-AL211-AZ211,0)</f>
        <v>58</v>
      </c>
      <c r="BI211" s="5">
        <f>IF(M211/1.6&lt;8,ROUND(M211/1.6,0),8)</f>
        <v>6</v>
      </c>
      <c r="BJ211" s="5">
        <f>(AH211+AP211+AZ211)*BA211+0.1*BH211</f>
        <v>63.49785485717578</v>
      </c>
      <c r="BK211" s="11">
        <v>1.8</v>
      </c>
      <c r="BL211" s="5">
        <f>M211*0.2</f>
        <v>2.04</v>
      </c>
      <c r="BM211" s="5">
        <f>ROUNDDOWN(M211/2.13,0)</f>
        <v>4</v>
      </c>
      <c r="BN211" s="12">
        <f>M211/4.26</f>
        <v>2.394366197183099</v>
      </c>
      <c r="BO211" s="5">
        <f>IF(M211&lt;8,1.22,IF(M211&lt;15.2,0.108333*M211+0.353,2))</f>
        <v>1.4579966</v>
      </c>
      <c r="BP211" s="12">
        <f>IF(BK211&lt;BO211,1+0.3*(BO211-BK211)/M211,1)</f>
        <v>1</v>
      </c>
      <c r="BQ211" s="32"/>
      <c r="BR211" s="39">
        <v>0</v>
      </c>
      <c r="BS211" t="s" s="24">
        <v>154</v>
      </c>
      <c r="BT211" s="36"/>
      <c r="BU211" s="36"/>
      <c r="BV211" s="5">
        <f>IF(BQ211&lt;(M211/0.3048)^0.5,1,IF(BU211="x",1-BR211*0.02,IF(BT211="x",1-BR211*0.01,1)))</f>
        <v>1</v>
      </c>
      <c r="BW211" s="12">
        <f>IF(K211="x",MIN(1.315,1.28+U211*N211/BJ211/AR211/1100),IF(L211="x",1.28,MAX(1.245,1.28-U211*N211/BJ211/AR211/1100)))</f>
        <v>1.254965919822239</v>
      </c>
      <c r="BX211" s="41">
        <f>BW211*T211*BV211*BP211*N211^0.3*BJ211^0.4/V211^0.325</f>
        <v>1.000071251628738</v>
      </c>
      <c r="BY211" s="29"/>
      <c r="BZ211" s="29"/>
      <c r="CA211" t="s" s="19">
        <v>213</v>
      </c>
      <c r="CB211" t="s" s="19">
        <v>430</v>
      </c>
      <c r="CC211" t="s" s="19">
        <v>180</v>
      </c>
      <c r="CD211" s="3"/>
      <c r="CE211" s="3"/>
      <c r="CF211" s="3"/>
      <c r="CG211" t="s" s="30">
        <f>A211</f>
        <v>1359</v>
      </c>
    </row>
    <row r="212" ht="12.75" customHeight="1">
      <c r="A212" t="s" s="25">
        <v>1360</v>
      </c>
      <c r="B212" t="s" s="19">
        <v>820</v>
      </c>
      <c r="C212" t="s" s="19">
        <v>821</v>
      </c>
      <c r="D212" t="s" s="19">
        <v>822</v>
      </c>
      <c r="E212" t="s" s="19">
        <v>1361</v>
      </c>
      <c r="F212" s="3"/>
      <c r="G212" s="42">
        <v>14</v>
      </c>
      <c r="H212" s="32"/>
      <c r="I212" s="32"/>
      <c r="J212" t="s" s="24">
        <v>154</v>
      </c>
      <c r="K212" s="36"/>
      <c r="L212" s="36"/>
      <c r="M212" s="11">
        <v>8</v>
      </c>
      <c r="N212" s="5">
        <v>8</v>
      </c>
      <c r="O212" s="11"/>
      <c r="P212" s="11"/>
      <c r="Q212" s="37"/>
      <c r="R212" t="s" s="24">
        <v>161</v>
      </c>
      <c r="S212" s="36"/>
      <c r="T212" s="38">
        <f>IF(S212&gt;0,1.048,IF(R212&gt;0,1.048,IF(Q212&gt;0,1.036,0.907+1.55*(P212/N212)-4.449*(P212/N212)^2)))</f>
        <v>1.048</v>
      </c>
      <c r="U212" s="39">
        <v>722</v>
      </c>
      <c r="V212" s="40">
        <f>IF(H212="x",75+U212,IF(M212&lt;6.66,150+U212,-1.7384*M212^2+92.38*M212-388+U212))</f>
        <v>961.7823999999999</v>
      </c>
      <c r="W212" s="5">
        <v>2.97</v>
      </c>
      <c r="X212" s="5">
        <v>2.8</v>
      </c>
      <c r="Y212" s="5">
        <v>2.53</v>
      </c>
      <c r="Z212" s="5">
        <v>2</v>
      </c>
      <c r="AA212" s="5">
        <v>0.66</v>
      </c>
      <c r="AB212" s="5"/>
      <c r="AC212" s="5">
        <v>10.11</v>
      </c>
      <c r="AD212" s="33"/>
      <c r="AE212" s="5">
        <f>IF(AD212=0,(W212+4*X212+2*Y212+4*Z212+AA212)*AC212/12+W212*AB212/1.5,AD212)</f>
        <v>23.497325</v>
      </c>
      <c r="AF212" s="11">
        <v>10.62</v>
      </c>
      <c r="AG212" s="11">
        <v>0.38</v>
      </c>
      <c r="AH212" s="5">
        <f>IF(AC212=0,AE212+AF212*AG212/2,AE212+AC212*AG212/2)</f>
        <v>25.418225</v>
      </c>
      <c r="AI212" s="5">
        <v>7.9</v>
      </c>
      <c r="AJ212" s="5">
        <v>1.81</v>
      </c>
      <c r="AK212" s="33"/>
      <c r="AL212" s="5">
        <f>IF(AK212=0,AI212*AJ212/2,AK212)</f>
        <v>7.149500000000001</v>
      </c>
      <c r="AM212" s="3"/>
      <c r="AN212" s="5"/>
      <c r="AO212" s="5"/>
      <c r="AP212" s="5">
        <f>AL212+AI212*(AN212-AO212)/2</f>
        <v>7.149500000000001</v>
      </c>
      <c r="AQ212" s="5">
        <f>0.1*(AE212+AL212)</f>
        <v>3.0646825</v>
      </c>
      <c r="AR212" s="11">
        <v>10.62</v>
      </c>
      <c r="AS212" s="11"/>
      <c r="AT212" s="11"/>
      <c r="AU212" s="11"/>
      <c r="AV212" s="33"/>
      <c r="AW212" s="5">
        <f>IF(AV212=0,AS212/6*(AT212+AU212*4),AV212)</f>
        <v>0</v>
      </c>
      <c r="AX212" s="11"/>
      <c r="AY212" s="5">
        <f>IF(AX212&lt;0.149*M212+0.329,1,AX212/(0.149*M212+0.329))</f>
        <v>1</v>
      </c>
      <c r="AZ212" s="5">
        <f>IF(AW212*AY212&gt;AL212,(AW212*AY212-AL212)/4,0)</f>
        <v>0</v>
      </c>
      <c r="BA212" s="12">
        <f>0.401+0.1831*(2*AR212^2/(AH212+AP212+AZ212))-0.02016*(2*AR212^2/(AH212+AP212+AZ212))^2+0.0007472*(2*AR212^2/(AH212+AP212+AZ212))^3</f>
        <v>0.950334798321848</v>
      </c>
      <c r="BB212" s="5">
        <v>5.32</v>
      </c>
      <c r="BC212" s="5">
        <v>10.52</v>
      </c>
      <c r="BD212" s="5">
        <v>9.15</v>
      </c>
      <c r="BE212" s="5">
        <v>5.45</v>
      </c>
      <c r="BF212" s="33"/>
      <c r="BG212" s="5">
        <f>IF(BF212=0,(BC212+BD212)*(BB212/12+BE212/3),BF212)</f>
        <v>44.4542</v>
      </c>
      <c r="BH212" s="5">
        <f>IF(BG212*AY212&gt;AL212+AZ212,BG212*AY212-AL212-AZ212,0)</f>
        <v>37.3047</v>
      </c>
      <c r="BI212" s="5">
        <f>IF(M212/1.6&lt;8,ROUND(M212/1.6,0),8)</f>
        <v>5</v>
      </c>
      <c r="BJ212" s="5">
        <f>(AH212+AP212+AZ212)*BA212+0.1*BH212</f>
        <v>34.68071236967641</v>
      </c>
      <c r="BK212" s="11">
        <v>1.22</v>
      </c>
      <c r="BL212" s="5">
        <f>M212*0.2</f>
        <v>1.6</v>
      </c>
      <c r="BM212" s="5">
        <f>ROUNDDOWN(M212/2.13,0)</f>
        <v>3</v>
      </c>
      <c r="BN212" s="12">
        <f>M212/4.26</f>
        <v>1.877934272300469</v>
      </c>
      <c r="BO212" s="5">
        <f>IF(M212&lt;8,1.22,IF(M212&lt;15.2,0.108333*M212+0.353,2))</f>
        <v>1.219664</v>
      </c>
      <c r="BP212" s="12">
        <f>IF(BK212&lt;BO212,1+0.3*(BO212-BK212)/M212,1)</f>
        <v>1</v>
      </c>
      <c r="BQ212" s="32"/>
      <c r="BR212" s="39">
        <v>0</v>
      </c>
      <c r="BS212" t="s" s="24">
        <v>154</v>
      </c>
      <c r="BT212" s="36"/>
      <c r="BU212" s="36"/>
      <c r="BV212" s="5">
        <f>IF(BQ212&lt;(M212/0.3048)^0.5,1,IF(BU212="x",1-BR212*0.02,IF(BT212="x",1-BR212*0.01,1)))</f>
        <v>1</v>
      </c>
      <c r="BW212" s="12">
        <f>IF(K212="x",MIN(1.315,1.28+U212*N212/BJ212/AR212/1100),IF(L212="x",1.28,MAX(1.245,1.28-U212*N212/BJ212/AR212/1100)))</f>
        <v>1.265743202763657</v>
      </c>
      <c r="BX212" s="41">
        <f>BW212*T212*BV212*BP212*N212^0.3*BJ212^0.4/V212^0.325</f>
        <v>1.096905257705179</v>
      </c>
      <c r="BY212" s="29"/>
      <c r="BZ212" s="48"/>
      <c r="CA212" t="s" s="19">
        <v>162</v>
      </c>
      <c r="CB212" s="42">
        <v>1997</v>
      </c>
      <c r="CC212" t="s" s="19">
        <v>254</v>
      </c>
      <c r="CD212" t="s" s="19">
        <v>415</v>
      </c>
      <c r="CE212" s="3"/>
      <c r="CF212" s="3"/>
      <c r="CG212" t="s" s="30">
        <f>A212</f>
        <v>1362</v>
      </c>
    </row>
    <row r="213" ht="12.75" customHeight="1">
      <c r="A213" t="s" s="25">
        <v>1363</v>
      </c>
      <c r="B213" t="s" s="19">
        <v>1364</v>
      </c>
      <c r="C213" t="s" s="19">
        <v>361</v>
      </c>
      <c r="D213" t="s" s="19">
        <v>1365</v>
      </c>
      <c r="E213" t="s" s="19">
        <v>1366</v>
      </c>
      <c r="F213" t="s" s="19">
        <v>1367</v>
      </c>
      <c r="G213" s="3"/>
      <c r="H213" s="32"/>
      <c r="I213" s="32"/>
      <c r="J213" s="36"/>
      <c r="K213" t="s" s="24">
        <v>154</v>
      </c>
      <c r="L213" s="36"/>
      <c r="M213" s="11">
        <v>12.08</v>
      </c>
      <c r="N213" s="5">
        <v>11.9</v>
      </c>
      <c r="O213" s="11">
        <v>10.5</v>
      </c>
      <c r="P213" s="11"/>
      <c r="Q213" s="37"/>
      <c r="R213" s="36"/>
      <c r="S213" t="s" s="24">
        <v>1368</v>
      </c>
      <c r="T213" s="38">
        <f>IF(S213&gt;0,1.048,IF(R213&gt;0,1.048,IF(Q213&gt;0,1.036,0.907+1.55*(P213/N213)-4.449*(P213/N213)^2)))</f>
        <v>1.048</v>
      </c>
      <c r="U213" s="39">
        <v>2050</v>
      </c>
      <c r="V213" s="40">
        <f>IF(H213="x",75+U213,IF(M213&lt;6.66,150+U213,-1.7384*M213^2+92.38*M213-388+U213))</f>
        <v>2524.27194624</v>
      </c>
      <c r="W213" s="5">
        <v>5.1</v>
      </c>
      <c r="X213" s="5">
        <v>4.6</v>
      </c>
      <c r="Y213" s="5">
        <v>3.9</v>
      </c>
      <c r="Z213" s="5">
        <v>2.4</v>
      </c>
      <c r="AA213" s="5">
        <v>0.15</v>
      </c>
      <c r="AB213" s="5"/>
      <c r="AC213" s="5">
        <v>14.75</v>
      </c>
      <c r="AD213" s="33"/>
      <c r="AE213" s="5">
        <f>IF(AD213=0,(W213+4*X213+2*Y213+4*Z213+AA213)*AC213/12+W213*AB213/1.5,AD213)</f>
        <v>50.45729166666666</v>
      </c>
      <c r="AF213" s="11">
        <v>15.72</v>
      </c>
      <c r="AG213" s="11">
        <v>0.72</v>
      </c>
      <c r="AH213" s="5">
        <f>IF(AC213=0,AE213+AF213*AG213/2,AE213+AC213*AG213/2)</f>
        <v>55.76729166666667</v>
      </c>
      <c r="AI213" s="5">
        <v>13.3</v>
      </c>
      <c r="AJ213" s="5">
        <v>3.5</v>
      </c>
      <c r="AK213" s="33"/>
      <c r="AL213" s="5">
        <f>IF(AK213=0,AI213*AJ213/2,AK213)</f>
        <v>23.275</v>
      </c>
      <c r="AM213" t="s" s="19">
        <v>154</v>
      </c>
      <c r="AN213" s="5"/>
      <c r="AO213" s="5"/>
      <c r="AP213" s="5">
        <f>AL213+AI213*(AN213-AO213)/2</f>
        <v>23.275</v>
      </c>
      <c r="AQ213" s="5">
        <f>0.1*(AE213+AL213)</f>
        <v>7.373229166666667</v>
      </c>
      <c r="AR213" s="11">
        <v>16.12</v>
      </c>
      <c r="AS213" s="11"/>
      <c r="AT213" s="11"/>
      <c r="AU213" s="11"/>
      <c r="AV213" s="33"/>
      <c r="AW213" s="5">
        <f>IF(AV213=0,AS213/6*(AT213+AU213*4),AV213)</f>
        <v>0</v>
      </c>
      <c r="AX213" s="11"/>
      <c r="AY213" s="5">
        <f>IF(AX213&lt;0.149*M213+0.329,1,AX213/(0.149*M213+0.329))</f>
        <v>1</v>
      </c>
      <c r="AZ213" s="5">
        <f>IF(AW213*AY213&gt;AL213,(AW213*AY213-AL213)/4,0)</f>
        <v>0</v>
      </c>
      <c r="BA213" s="12">
        <f>0.401+0.1831*(2*AR213^2/(AH213+AP213+AZ213))-0.02016*(2*AR213^2/(AH213+AP213+AZ213))^2+0.0007472*(2*AR213^2/(AH213+AP213+AZ213))^3</f>
        <v>0.9457393244000498</v>
      </c>
      <c r="BB213" s="5">
        <v>8.050000000000001</v>
      </c>
      <c r="BC213" s="5">
        <v>15.34</v>
      </c>
      <c r="BD213" s="5">
        <v>12.85</v>
      </c>
      <c r="BE213" s="5">
        <v>7.08</v>
      </c>
      <c r="BF213" s="33"/>
      <c r="BG213" s="5">
        <f>IF(BF213=0,(BC213+BD213)*(BB213/12+BE213/3),BF213)</f>
        <v>85.43919166666666</v>
      </c>
      <c r="BH213" s="5">
        <f>IF(BG213*AY213&gt;AL213+AZ213,BG213*AY213-AL213-AZ213,0)</f>
        <v>62.16419166666665</v>
      </c>
      <c r="BI213" s="5">
        <f>IF(M213/1.6&lt;8,ROUND(M213/1.6,0),8)</f>
        <v>8</v>
      </c>
      <c r="BJ213" s="5">
        <f>(AH213+AP213+AZ213)*BA213+0.1*BH213</f>
        <v>80.9698226865317</v>
      </c>
      <c r="BK213" s="11">
        <v>1.25</v>
      </c>
      <c r="BL213" s="5">
        <f>M213*0.2</f>
        <v>2.416</v>
      </c>
      <c r="BM213" s="5">
        <f>ROUNDDOWN(M213/2.13,0)</f>
        <v>5</v>
      </c>
      <c r="BN213" s="12">
        <f>M213/4.26</f>
        <v>2.835680751173709</v>
      </c>
      <c r="BO213" s="5">
        <f>IF(M213&lt;8,1.22,IF(M213&lt;15.2,0.108333*M213+0.353,2))</f>
        <v>1.66166264</v>
      </c>
      <c r="BP213" s="12">
        <f>IF(BK213&lt;BO213,1+0.3*(BO213-BK213)/M213,1)</f>
        <v>1.010223409933775</v>
      </c>
      <c r="BQ213" s="39">
        <v>3</v>
      </c>
      <c r="BR213" s="39">
        <v>0</v>
      </c>
      <c r="BS213" t="s" s="24">
        <v>154</v>
      </c>
      <c r="BT213" s="36"/>
      <c r="BU213" s="36"/>
      <c r="BV213" s="5">
        <f>IF(BQ213&lt;(M213/0.3048)^0.5,1,IF(BU213="x",1-BR213*0.02,IF(BT213="x",1-BR213*0.01,1)))</f>
        <v>1</v>
      </c>
      <c r="BW213" s="12">
        <f>IF(K213="x",MIN(1.315,1.28+U213*N213/BJ213/AR213/1100),IF(L213="x",1.28,MAX(1.245,1.28-U213*N213/BJ213/AR213/1100)))</f>
        <v>1.296991038016285</v>
      </c>
      <c r="BX213" s="41">
        <f>BW213*T213*BV213*BP213*N213^0.3*BJ213^0.4/V213^0.325</f>
        <v>1.312244629418531</v>
      </c>
      <c r="BY213" s="29"/>
      <c r="BZ213" s="29"/>
      <c r="CA213" s="3"/>
      <c r="CB213" s="3"/>
      <c r="CC213" s="3"/>
      <c r="CD213" s="3"/>
      <c r="CE213" s="3"/>
      <c r="CF213" s="3"/>
      <c r="CG213" t="s" s="30">
        <f>A213</f>
        <v>1369</v>
      </c>
    </row>
    <row r="214" ht="12.75" customHeight="1">
      <c r="A214" t="s" s="25">
        <v>1370</v>
      </c>
      <c r="B214" t="s" s="19">
        <v>1260</v>
      </c>
      <c r="C214" t="s" s="19">
        <v>278</v>
      </c>
      <c r="D214" t="s" s="19">
        <v>1261</v>
      </c>
      <c r="E214" t="s" s="19">
        <v>1371</v>
      </c>
      <c r="F214" s="3"/>
      <c r="G214" t="s" s="19">
        <v>1263</v>
      </c>
      <c r="H214" s="32"/>
      <c r="I214" s="32"/>
      <c r="J214" s="36"/>
      <c r="K214" t="s" s="24">
        <v>154</v>
      </c>
      <c r="L214" s="36"/>
      <c r="M214" s="11">
        <v>7.99</v>
      </c>
      <c r="N214" s="5">
        <v>7.99</v>
      </c>
      <c r="O214" s="11">
        <v>6.5</v>
      </c>
      <c r="P214" s="11"/>
      <c r="Q214" s="37"/>
      <c r="R214" t="s" s="24">
        <v>161</v>
      </c>
      <c r="S214" s="36"/>
      <c r="T214" s="38">
        <f>IF(S214&gt;0,1.048,IF(R214&gt;0,1.048,IF(Q214&gt;0,1.036,0.907+1.55*(P214/N214)-4.449*(P214/N214)^2)))</f>
        <v>1.048</v>
      </c>
      <c r="U214" s="39">
        <v>1120</v>
      </c>
      <c r="V214" s="40">
        <f>IF(H214="x",75+U214,IF(M214&lt;6.66,150+U214,-1.7384*M214^2+92.38*M214-388+U214))</f>
        <v>1359.13657016</v>
      </c>
      <c r="W214" s="5"/>
      <c r="X214" s="5"/>
      <c r="Y214" s="5"/>
      <c r="Z214" s="5"/>
      <c r="AA214" s="5"/>
      <c r="AB214" s="5"/>
      <c r="AC214" s="5">
        <v>11.8</v>
      </c>
      <c r="AD214" s="33">
        <v>32.13</v>
      </c>
      <c r="AE214" s="5">
        <f>IF(AD214=0,(W214+4*X214+2*Y214+4*Z214+AA214)*AC214/12+W214*AB214/1.5,AD214)</f>
        <v>32.13</v>
      </c>
      <c r="AF214" s="11">
        <v>12.7</v>
      </c>
      <c r="AG214" s="11">
        <v>0.48</v>
      </c>
      <c r="AH214" s="5">
        <f>IF(AC214=0,AE214+AF214*AG214/2,AE214+AC214*AG214/2)</f>
        <v>34.962</v>
      </c>
      <c r="AI214" s="3"/>
      <c r="AJ214" s="3"/>
      <c r="AK214" s="33">
        <v>10.37</v>
      </c>
      <c r="AL214" s="5">
        <f>IF(AK214=0,AI214*AJ214/2,AK214)</f>
        <v>10.37</v>
      </c>
      <c r="AM214" s="3"/>
      <c r="AN214" s="5"/>
      <c r="AO214" s="5"/>
      <c r="AP214" s="5">
        <f>AL214+AI214*(AN214-AO214)/2</f>
        <v>10.37</v>
      </c>
      <c r="AQ214" s="5">
        <f>0.1*(AE214+AL214)</f>
        <v>4.25</v>
      </c>
      <c r="AR214" s="11">
        <v>13</v>
      </c>
      <c r="AS214" s="11"/>
      <c r="AT214" s="11"/>
      <c r="AU214" s="11"/>
      <c r="AV214" s="33">
        <v>37.29</v>
      </c>
      <c r="AW214" s="5">
        <f>IF(AV214=0,AS214/6*(AT214+AU214*4),AV214)</f>
        <v>37.29</v>
      </c>
      <c r="AX214" s="11">
        <v>1.5</v>
      </c>
      <c r="AY214" s="5">
        <f>IF(AX214&lt;0.149*M214+0.329,1,AX214/(0.149*M214+0.329))</f>
        <v>1</v>
      </c>
      <c r="AZ214" s="5">
        <f>IF(AW214*AY214&gt;AL214,(AW214*AY214-AL214)/4,0)</f>
        <v>6.73</v>
      </c>
      <c r="BA214" s="12">
        <f>0.401+0.1831*(2*AR214^2/(AH214+AP214+AZ214))-0.02016*(2*AR214^2/(AH214+AP214+AZ214))^2+0.0007472*(2*AR214^2/(AH214+AP214+AZ214))^3</f>
        <v>0.94446772098323</v>
      </c>
      <c r="BB214" s="3"/>
      <c r="BC214" s="3"/>
      <c r="BD214" s="3"/>
      <c r="BE214" s="3"/>
      <c r="BF214" s="33"/>
      <c r="BG214" s="5">
        <f>IF(BF214=0,(BC214+BD214)*(BB214/12+BE214/3),BF214)</f>
        <v>0</v>
      </c>
      <c r="BH214" s="5">
        <f>IF(BG214*AY214&gt;AL214+AZ214,BG214*AY214-AL214-AZ214,0)</f>
        <v>0</v>
      </c>
      <c r="BI214" s="5">
        <f>IF(M214/1.6&lt;8,ROUND(M214/1.6,0),8)</f>
        <v>5</v>
      </c>
      <c r="BJ214" s="5">
        <f>(AH214+AP214+AZ214)*BA214+0.1*BH214</f>
        <v>49.17087848982892</v>
      </c>
      <c r="BK214" s="11">
        <v>1.8</v>
      </c>
      <c r="BL214" s="5">
        <f>M214*0.2</f>
        <v>1.598</v>
      </c>
      <c r="BM214" s="5">
        <f>ROUNDDOWN(M214/2.13,0)</f>
        <v>3</v>
      </c>
      <c r="BN214" s="12">
        <f>M214/4.26</f>
        <v>1.875586854460094</v>
      </c>
      <c r="BO214" s="5">
        <f>IF(M214&lt;8,1.22,IF(M214&lt;15.2,0.108333*M214+0.353,2))</f>
        <v>1.22</v>
      </c>
      <c r="BP214" s="12">
        <f>IF(BK214&lt;BO214,1+0.3*(BO214-BK214)/M214,1)</f>
        <v>1</v>
      </c>
      <c r="BQ214" s="32"/>
      <c r="BR214" s="39">
        <v>0</v>
      </c>
      <c r="BS214" t="s" s="24">
        <v>154</v>
      </c>
      <c r="BT214" s="36"/>
      <c r="BU214" s="36"/>
      <c r="BV214" s="5">
        <f>IF(BQ214&lt;(M214/0.3048)^0.5,1,IF(BU214="x",1-BR214*0.02,IF(BT214="x",1-BR214*0.01,1)))</f>
        <v>1</v>
      </c>
      <c r="BW214" s="12">
        <f>IF(K214="x",MIN(1.315,1.28+U214*N214/BJ214/AR214/1100),IF(L214="x",1.28,MAX(1.245,1.28-U214*N214/BJ214/AR214/1100)))</f>
        <v>1.292726846235209</v>
      </c>
      <c r="BX214" s="41">
        <f>BW214*T214*BV214*BP214*N214^0.3*BJ214^0.4/V214^0.325</f>
        <v>1.150813014044713</v>
      </c>
      <c r="BY214" s="29"/>
      <c r="BZ214" s="29"/>
      <c r="CA214" t="s" s="19">
        <v>162</v>
      </c>
      <c r="CB214" t="s" s="19">
        <v>179</v>
      </c>
      <c r="CC214" t="s" s="19">
        <v>164</v>
      </c>
      <c r="CD214" s="3"/>
      <c r="CE214" s="3"/>
      <c r="CF214" s="3"/>
      <c r="CG214" t="s" s="30">
        <f>A214</f>
        <v>1372</v>
      </c>
    </row>
    <row r="215" ht="12.75" customHeight="1">
      <c r="A215" t="s" s="25">
        <v>1373</v>
      </c>
      <c r="B215" t="s" s="19">
        <v>1364</v>
      </c>
      <c r="C215" t="s" s="19">
        <v>1374</v>
      </c>
      <c r="D215" t="s" s="19">
        <v>1375</v>
      </c>
      <c r="E215" t="s" s="19">
        <v>815</v>
      </c>
      <c r="F215" t="s" s="19">
        <v>1376</v>
      </c>
      <c r="G215" s="42">
        <v>150</v>
      </c>
      <c r="H215" s="32"/>
      <c r="I215" s="32"/>
      <c r="J215" s="36"/>
      <c r="K215" t="s" s="24">
        <v>154</v>
      </c>
      <c r="L215" s="36"/>
      <c r="M215" s="11">
        <v>12.2</v>
      </c>
      <c r="N215" s="5">
        <v>12.2</v>
      </c>
      <c r="O215" s="11">
        <v>8.5</v>
      </c>
      <c r="P215" s="11"/>
      <c r="Q215" s="37"/>
      <c r="R215" s="36"/>
      <c r="S215" s="43">
        <v>1.8</v>
      </c>
      <c r="T215" s="38">
        <f>IF(S215&gt;0,1.048,IF(R215&gt;0,1.048,IF(Q215&gt;0,1.036,0.907+1.55*(P215/N215)-4.449*(P215/N215)^2)))</f>
        <v>1.048</v>
      </c>
      <c r="U215" s="39">
        <v>2200</v>
      </c>
      <c r="V215" s="40">
        <f>IF(H215="x",75+U215,IF(M215&lt;6.66,150+U215,-1.7384*M215^2+92.38*M215-388+U215))</f>
        <v>2680.292544</v>
      </c>
      <c r="W215" s="5"/>
      <c r="X215" s="5"/>
      <c r="Y215" s="5"/>
      <c r="Z215" s="5"/>
      <c r="AA215" s="5"/>
      <c r="AB215" s="5"/>
      <c r="AC215" s="5">
        <v>17</v>
      </c>
      <c r="AD215" s="33">
        <v>75</v>
      </c>
      <c r="AE215" s="5">
        <f>IF(AD215=0,(W215+4*X215+2*Y215+4*Z215+AA215)*AC215/12+W215*AB215/1.5,AD215)</f>
        <v>75</v>
      </c>
      <c r="AF215" s="11">
        <v>19</v>
      </c>
      <c r="AG215" s="11"/>
      <c r="AH215" s="5">
        <f>IF(AC215=0,AE215+AF215*AG215/2,AE215+AC215*AG215/2)</f>
        <v>75</v>
      </c>
      <c r="AI215" s="5">
        <v>15</v>
      </c>
      <c r="AJ215" s="3"/>
      <c r="AK215" s="33">
        <v>25</v>
      </c>
      <c r="AL215" s="5">
        <f>IF(AK215=0,AI215*AJ215/2,AK215)</f>
        <v>25</v>
      </c>
      <c r="AM215" t="s" s="19">
        <v>154</v>
      </c>
      <c r="AN215" s="5"/>
      <c r="AO215" s="5"/>
      <c r="AP215" s="5">
        <f>AL215+AI215*(AN215-AO215)/2</f>
        <v>25</v>
      </c>
      <c r="AQ215" s="5">
        <f>0.1*(AE215+AL215)</f>
        <v>10</v>
      </c>
      <c r="AR215" s="11">
        <v>18</v>
      </c>
      <c r="AS215" s="11"/>
      <c r="AT215" s="11"/>
      <c r="AU215" s="11"/>
      <c r="AV215" s="33">
        <v>60</v>
      </c>
      <c r="AW215" s="5">
        <f>IF(AV215=0,AS215/6*(AT215+AU215*4),AV215)</f>
        <v>60</v>
      </c>
      <c r="AX215" s="11">
        <v>1.5</v>
      </c>
      <c r="AY215" s="5">
        <f>IF(AX215&lt;0.149*M215+0.329,1,AX215/(0.149*M215+0.329))</f>
        <v>1</v>
      </c>
      <c r="AZ215" s="5">
        <f>IF(AW215*AY215&gt;AL215,(AW215*AY215-AL215)/4,0)</f>
        <v>8.75</v>
      </c>
      <c r="BA215" s="12">
        <f>0.401+0.1831*(2*AR215^2/(AH215+AP215+AZ215))-0.02016*(2*AR215^2/(AH215+AP215+AZ215))^2+0.0007472*(2*AR215^2/(AH215+AP215+AZ215))^3</f>
        <v>0.9343183771952275</v>
      </c>
      <c r="BB215" s="3"/>
      <c r="BC215" s="3"/>
      <c r="BD215" s="3"/>
      <c r="BE215" s="3"/>
      <c r="BF215" s="33">
        <v>110</v>
      </c>
      <c r="BG215" s="5">
        <f>IF(BF215=0,(BC215+BD215)*(BB215/12+BE215/3),BF215)</f>
        <v>110</v>
      </c>
      <c r="BH215" s="5">
        <f>IF(BG215*AY215&gt;AL215+AZ215,BG215*AY215-AL215-AZ215,0)</f>
        <v>76.25</v>
      </c>
      <c r="BI215" s="5">
        <f>IF(M215/1.6&lt;8,ROUND(M215/1.6,0),8)</f>
        <v>8</v>
      </c>
      <c r="BJ215" s="5">
        <f>(AH215+AP215+AZ215)*BA215+0.1*BH215</f>
        <v>109.232123519981</v>
      </c>
      <c r="BK215" s="11">
        <v>2</v>
      </c>
      <c r="BL215" s="5">
        <f>M215*0.2</f>
        <v>2.44</v>
      </c>
      <c r="BM215" s="5">
        <f>ROUNDDOWN(M215/2.13,0)</f>
        <v>5</v>
      </c>
      <c r="BN215" s="12">
        <f>M215/4.26</f>
        <v>2.863849765258216</v>
      </c>
      <c r="BO215" s="5">
        <f>IF(M215&lt;8,1.22,IF(M215&lt;15.2,0.108333*M215+0.353,2))</f>
        <v>1.6746626</v>
      </c>
      <c r="BP215" s="12">
        <f>IF(BK215&lt;BO215,1+0.3*(BO215-BK215)/M215,1)</f>
        <v>1</v>
      </c>
      <c r="BQ215" s="39">
        <v>6</v>
      </c>
      <c r="BR215" s="32"/>
      <c r="BS215" t="s" s="24">
        <v>154</v>
      </c>
      <c r="BT215" s="36"/>
      <c r="BU215" s="36"/>
      <c r="BV215" s="5">
        <f>IF(BQ215&lt;(M215/0.3048)^0.5,1,IF(BU215="x",1-BR215*0.02,IF(BT215="x",1-BR215*0.01,1)))</f>
        <v>1</v>
      </c>
      <c r="BW215" s="12">
        <f>IF(K215="x",MIN(1.315,1.28+U215*N215/BJ215/AR215/1100),IF(L215="x",1.28,MAX(1.245,1.28-U215*N215/BJ215/AR215/1100)))</f>
        <v>1.292409861786744</v>
      </c>
      <c r="BX215" s="41">
        <f>BW215*T215*BV215*BP215*N215^0.3*BJ215^0.4/V215^0.325</f>
        <v>1.441618780289638</v>
      </c>
      <c r="BY215" s="29"/>
      <c r="BZ215" s="29"/>
      <c r="CA215" s="3"/>
      <c r="CB215" s="3"/>
      <c r="CC215" s="3"/>
      <c r="CD215" s="3"/>
      <c r="CE215" s="3"/>
      <c r="CF215" s="3"/>
      <c r="CG215" t="s" s="30">
        <f>A215</f>
        <v>1377</v>
      </c>
    </row>
    <row r="216" ht="12.75" customHeight="1">
      <c r="A216" t="s" s="53">
        <v>1378</v>
      </c>
      <c r="B216" t="s" s="54">
        <v>1379</v>
      </c>
      <c r="C216" s="55"/>
      <c r="D216" s="55"/>
      <c r="E216" t="s" s="54">
        <v>1380</v>
      </c>
      <c r="F216" s="55"/>
      <c r="G216" t="s" s="54">
        <v>1381</v>
      </c>
      <c r="H216" s="56"/>
      <c r="I216" s="56"/>
      <c r="J216" s="57"/>
      <c r="K216" t="s" s="58">
        <v>154</v>
      </c>
      <c r="L216" s="57"/>
      <c r="M216" s="59">
        <v>9.460000000000001</v>
      </c>
      <c r="N216" s="60">
        <v>9.02</v>
      </c>
      <c r="O216" s="59">
        <v>6</v>
      </c>
      <c r="P216" s="59"/>
      <c r="Q216" s="61">
        <v>1.05</v>
      </c>
      <c r="R216" s="57"/>
      <c r="S216" s="57"/>
      <c r="T216" s="63">
        <f>IF(S216&gt;0,1.048,IF(R216&gt;0,1.048,IF(Q216&gt;0,1.036,0.907+1.55*(P216/N216)-4.449*(P216/N216)^2)))</f>
        <v>1.036</v>
      </c>
      <c r="U216" s="62">
        <f>850-39</f>
        <v>811</v>
      </c>
      <c r="V216" s="64">
        <f>IF(H216="x",75+U216,IF(M216&lt;6.66,150+U216,-1.7384*M216^2+92.38*M216-388+U216))</f>
        <v>1141.34260256</v>
      </c>
      <c r="W216" s="60">
        <v>3</v>
      </c>
      <c r="X216" s="60">
        <v>2.91</v>
      </c>
      <c r="Y216" s="60">
        <v>2.69</v>
      </c>
      <c r="Z216" s="60">
        <v>2.24</v>
      </c>
      <c r="AA216" s="60">
        <v>1</v>
      </c>
      <c r="AB216" s="60">
        <v>0</v>
      </c>
      <c r="AC216" s="60">
        <v>11</v>
      </c>
      <c r="AD216" s="65"/>
      <c r="AE216" s="60">
        <f>IF(AD216=0,(W216+4*X216+2*Y216+4*Z216+AA216)*AC216/12+W216*AB216/1.5,AD216)</f>
        <v>27.48166666666667</v>
      </c>
      <c r="AF216" s="59"/>
      <c r="AG216" s="59">
        <v>0.36</v>
      </c>
      <c r="AH216" s="60">
        <f>IF(AC216=0,AE216+AF216*AG216/2,AE216+AC216*AG216/2)</f>
        <v>29.46166666666667</v>
      </c>
      <c r="AI216" s="60">
        <v>8.48</v>
      </c>
      <c r="AJ216" s="60">
        <v>2.8</v>
      </c>
      <c r="AK216" s="65"/>
      <c r="AL216" s="60">
        <f>IF(AK216=0,AI216*AJ216/2,AK216)</f>
        <v>11.872</v>
      </c>
      <c r="AM216" t="s" s="54">
        <v>154</v>
      </c>
      <c r="AN216" s="60"/>
      <c r="AO216" s="60"/>
      <c r="AP216" s="60">
        <f>AL216+AI216*(AN216-AO216)/2</f>
        <v>11.872</v>
      </c>
      <c r="AQ216" s="60">
        <f>0.1*(AE216+AL216)</f>
        <v>3.935366666666667</v>
      </c>
      <c r="AR216" s="59">
        <v>12.06</v>
      </c>
      <c r="AS216" s="59"/>
      <c r="AT216" s="59"/>
      <c r="AU216" s="59"/>
      <c r="AV216" s="65">
        <f>0.409*10.68*(3.63+5.75/2)</f>
        <v>28.4146206</v>
      </c>
      <c r="AW216" s="5">
        <f>IF(AV216=0,AS216/6*(AT216+AU216*4),AV216)</f>
        <v>28.4146206</v>
      </c>
      <c r="AX216" s="59">
        <v>1.25</v>
      </c>
      <c r="AY216" s="60">
        <f>IF(AX216&lt;0.149*M216+0.329,1,AX216/(0.149*M216+0.329))</f>
        <v>1</v>
      </c>
      <c r="AZ216" s="5">
        <f>IF(AW216*AY216&gt;AL216,(AW216*AY216-AL216)/4,0)</f>
        <v>4.135655149999999</v>
      </c>
      <c r="BA216" s="66">
        <f>0.401+0.1831*(2*AR216^2/(AH216+AP216+AZ216))-0.02016*(2*AR216^2/(AH216+AP216+AZ216))^2+0.0007472*(2*AR216^2/(AH216+AP216+AZ216))^3</f>
        <v>0.9429171551552499</v>
      </c>
      <c r="BB216" s="60">
        <v>6.23</v>
      </c>
      <c r="BC216" s="60">
        <v>11.45</v>
      </c>
      <c r="BD216" s="60">
        <v>10.25</v>
      </c>
      <c r="BE216" s="60">
        <v>5.85</v>
      </c>
      <c r="BF216" s="65"/>
      <c r="BG216" s="60">
        <f>IF(BF216=0,(BC216+BD216)*(BB216/12+BE216/3),BF216)</f>
        <v>53.58091666666667</v>
      </c>
      <c r="BH216" s="60">
        <f>IF(BG216*AY216&gt;AL216+AZ216,BG216*AY216-AL216-AZ216,0)</f>
        <v>37.57326151666667</v>
      </c>
      <c r="BI216" s="60">
        <f>IF(M216/1.6&lt;8,ROUND(M216/1.6,0),8)</f>
        <v>6</v>
      </c>
      <c r="BJ216" s="60">
        <f>(AH216+AP216+AZ216)*BA216+0.1*BH216</f>
        <v>46.63112972587654</v>
      </c>
      <c r="BK216" s="59">
        <v>1.42</v>
      </c>
      <c r="BL216" s="60">
        <f>M216*0.2</f>
        <v>1.892</v>
      </c>
      <c r="BM216" s="60">
        <f>ROUNDDOWN(M216/2.13,0)</f>
        <v>4</v>
      </c>
      <c r="BN216" s="66">
        <f>M216/4.26</f>
        <v>2.220657276995305</v>
      </c>
      <c r="BO216" s="60">
        <f>IF(M216&lt;8,1.22,IF(M216&lt;15.2,0.108333*M216+0.353,2))</f>
        <v>1.37783018</v>
      </c>
      <c r="BP216" s="66">
        <f>IF(BK216&lt;BO216,1+0.3*(BO216-BK216)/M216,1)</f>
        <v>1</v>
      </c>
      <c r="BQ216" s="56"/>
      <c r="BR216" s="56"/>
      <c r="BS216" t="s" s="58">
        <v>154</v>
      </c>
      <c r="BT216" s="57"/>
      <c r="BU216" s="57"/>
      <c r="BV216" s="60">
        <f>IF(BQ216&lt;(M216/0.3048)^0.5,1,IF(BU216="x",1-BR216*0.02,IF(BT216="x",1-BR216*0.01,1)))</f>
        <v>1</v>
      </c>
      <c r="BW216" s="66">
        <f>IF(K216="x",MIN(1.315,1.28+U216*N216/BJ216/AR216/1100),IF(L216="x",1.28,MAX(1.245,1.28-U216*N216/BJ216/AR216/1100)))</f>
        <v>1.291825280784817</v>
      </c>
      <c r="BX216" s="67">
        <f>BW216*T216*BV216*BP216*N216^0.3*BJ216^0.4/V216^0.325</f>
        <v>1.221618670728157</v>
      </c>
      <c r="BY216" s="29"/>
      <c r="BZ216" s="29"/>
      <c r="CA216" t="s" s="54">
        <v>1382</v>
      </c>
      <c r="CB216" s="83">
        <v>37773</v>
      </c>
      <c r="CC216" t="s" s="19">
        <v>254</v>
      </c>
      <c r="CD216" s="3"/>
      <c r="CE216" s="3"/>
      <c r="CF216" s="3"/>
      <c r="CG216" t="s" s="30">
        <f>A216</f>
        <v>1383</v>
      </c>
    </row>
    <row r="217" ht="12.75" customHeight="1">
      <c r="A217" t="s" s="25">
        <v>1384</v>
      </c>
      <c r="B217" t="s" s="19">
        <v>681</v>
      </c>
      <c r="C217" t="s" s="19">
        <v>213</v>
      </c>
      <c r="D217" t="s" s="19">
        <v>228</v>
      </c>
      <c r="E217" t="s" s="19">
        <v>1385</v>
      </c>
      <c r="F217" s="3"/>
      <c r="G217" s="3"/>
      <c r="H217" s="32"/>
      <c r="I217" s="32"/>
      <c r="J217" t="s" s="24">
        <v>154</v>
      </c>
      <c r="K217" s="36"/>
      <c r="L217" s="36"/>
      <c r="M217" s="11">
        <v>13.95</v>
      </c>
      <c r="N217" s="5">
        <v>13.95</v>
      </c>
      <c r="O217" s="11">
        <v>7.62</v>
      </c>
      <c r="P217" s="11">
        <v>1.08</v>
      </c>
      <c r="Q217" s="37"/>
      <c r="R217" s="36"/>
      <c r="S217" s="36"/>
      <c r="T217" s="38">
        <f>IF(S217&gt;0,1.048,IF(R217&gt;0,1.048,IF(Q217&gt;0,1.036,0.907+1.55*(P217/N217)-4.449*(P217/N217)^2)))</f>
        <v>1.000333777315297</v>
      </c>
      <c r="U217" s="39">
        <v>8100</v>
      </c>
      <c r="V217" s="40">
        <f>IF(H217="x",75+U217,IF(M217&lt;6.66,150+U217,-1.7384*M217^2+92.38*M217-388+U217))</f>
        <v>8662.404014</v>
      </c>
      <c r="W217" s="5"/>
      <c r="X217" s="5"/>
      <c r="Y217" s="5"/>
      <c r="Z217" s="5"/>
      <c r="AA217" s="5"/>
      <c r="AB217" s="5"/>
      <c r="AC217" s="5"/>
      <c r="AD217" s="33">
        <v>80</v>
      </c>
      <c r="AE217" s="5">
        <f>IF(AD217=0,(W217+4*X217+2*Y217+4*Z217+AA217)*AC217/12+W217*AB217/1.5,AD217)</f>
        <v>80</v>
      </c>
      <c r="AF217" s="11">
        <v>18.4</v>
      </c>
      <c r="AG217" s="11">
        <f>2.4*0.47</f>
        <v>1.128</v>
      </c>
      <c r="AH217" s="5">
        <f>IF(AC217=0,AE217+AF217*AG217/2,AE217+AC217*AG217/2)</f>
        <v>90.3776</v>
      </c>
      <c r="AI217" s="5">
        <v>15.4</v>
      </c>
      <c r="AJ217" s="3"/>
      <c r="AK217" s="33">
        <v>45</v>
      </c>
      <c r="AL217" s="5">
        <f>IF(AK217=0,AI217*AJ217/2,AK217)</f>
        <v>45</v>
      </c>
      <c r="AM217" s="3"/>
      <c r="AN217" s="5"/>
      <c r="AO217" s="5">
        <f t="shared" si="5049" ref="AO217:AO233">PI()*0.042</f>
        <v>0.1319468914507713</v>
      </c>
      <c r="AP217" s="5">
        <f>AL217+AI217*(AN217-AO217)/2</f>
        <v>43.98400893582906</v>
      </c>
      <c r="AQ217" s="5">
        <f>0.1*(AE217+AL217)</f>
        <v>12.5</v>
      </c>
      <c r="AR217" s="11">
        <v>19.18</v>
      </c>
      <c r="AS217" s="11"/>
      <c r="AT217" s="11"/>
      <c r="AU217" s="11"/>
      <c r="AV217" s="33">
        <v>85</v>
      </c>
      <c r="AW217" s="5">
        <f>IF(AV217=0,AS217/6*(AT217+AU217*4),AV217)</f>
        <v>85</v>
      </c>
      <c r="AX217" s="11">
        <v>1.2</v>
      </c>
      <c r="AY217" s="5">
        <f>IF(AX217&lt;0.149*M217+0.329,1,AX217/(0.149*M217+0.329))</f>
        <v>1</v>
      </c>
      <c r="AZ217" s="5">
        <f>IF(AW217*AY217&gt;AL217,(AW217*AY217-AL217)/4,0)</f>
        <v>10</v>
      </c>
      <c r="BA217" s="12">
        <f>0.401+0.1831*(2*AR217^2/(AH217+AP217+AZ217))-0.02016*(2*AR217^2/(AH217+AP217+AZ217))^2+0.0007472*(2*AR217^2/(AH217+AP217+AZ217))^3</f>
        <v>0.9094413727530747</v>
      </c>
      <c r="BB217" s="3"/>
      <c r="BC217" s="3"/>
      <c r="BD217" s="3"/>
      <c r="BE217" s="3"/>
      <c r="BF217" s="33">
        <v>153</v>
      </c>
      <c r="BG217" s="5">
        <f>IF(BF217=0,(BC217+BD217)*(BB217/12+BE217/3),BF217)</f>
        <v>153</v>
      </c>
      <c r="BH217" s="5">
        <f>IF(BG217*AY217&gt;AL217+AZ217,BG217*AY217-AL217-AZ217,0)</f>
        <v>98</v>
      </c>
      <c r="BI217" s="42">
        <f>IF(M217/1.6&lt;8,ROUND(M217/1.6,0),8)</f>
        <v>8</v>
      </c>
      <c r="BJ217" s="5">
        <f>(AH217+AP217+AZ217)*BA217+0.1*BH217</f>
        <v>141.0884198034429</v>
      </c>
      <c r="BK217" s="11">
        <v>1.85</v>
      </c>
      <c r="BL217" s="5">
        <f>M217*0.2</f>
        <v>2.79</v>
      </c>
      <c r="BM217" s="5">
        <f>ROUNDDOWN(M217/2.13,0)</f>
        <v>6</v>
      </c>
      <c r="BN217" s="12">
        <f>M217/4.26</f>
        <v>3.274647887323944</v>
      </c>
      <c r="BO217" s="5">
        <f>IF(M217&lt;8,1.22,IF(M217&lt;15.2,0.108333*M217+0.353,2))</f>
        <v>1.86424535</v>
      </c>
      <c r="BP217" s="12">
        <f>IF(BK217&lt;BO217,1+0.3*(BO217-BK217)/M217,1)</f>
        <v>1.000306351612903</v>
      </c>
      <c r="BQ217" s="39">
        <v>8</v>
      </c>
      <c r="BR217" s="39">
        <v>2</v>
      </c>
      <c r="BS217" s="36"/>
      <c r="BT217" t="s" s="24">
        <v>154</v>
      </c>
      <c r="BU217" s="36"/>
      <c r="BV217" s="5">
        <f>IF(BQ217&lt;(M217/0.3048)^0.5,1,IF(BU217="x",1-BR217*0.02,IF(BT217="x",1-BR217*0.01,1)))</f>
        <v>0.98</v>
      </c>
      <c r="BW217" s="12">
        <f>IF(K217="x",MIN(1.315,1.28+U217*N217/BJ217/AR217/1100),IF(L217="x",1.28,MAX(1.245,1.28-U217*N217/BJ217/AR217/1100)))</f>
        <v>1.245</v>
      </c>
      <c r="BX217" s="41">
        <f>BW217*T217*BV217*BP217*N217^0.3*BJ217^0.4/V217^0.325</f>
        <v>1.023551515308063</v>
      </c>
      <c r="BY217" s="29"/>
      <c r="BZ217" s="29"/>
      <c r="CA217" t="s" s="19">
        <v>213</v>
      </c>
      <c r="CB217" t="s" s="19">
        <v>1386</v>
      </c>
      <c r="CC217" t="s" s="19">
        <v>614</v>
      </c>
      <c r="CD217" s="3"/>
      <c r="CE217" s="3"/>
      <c r="CF217" s="3"/>
      <c r="CG217" t="s" s="30">
        <f>A217</f>
        <v>1387</v>
      </c>
    </row>
    <row r="218" ht="12.75" customHeight="1">
      <c r="A218" t="s" s="25">
        <v>1388</v>
      </c>
      <c r="B218" t="s" s="19">
        <v>1186</v>
      </c>
      <c r="C218" t="s" s="19">
        <v>636</v>
      </c>
      <c r="D218" t="s" s="19">
        <v>1187</v>
      </c>
      <c r="E218" t="s" s="19">
        <v>1389</v>
      </c>
      <c r="F218" s="3"/>
      <c r="G218" s="3"/>
      <c r="H218" s="32"/>
      <c r="I218" s="32"/>
      <c r="J218" t="s" s="24">
        <v>154</v>
      </c>
      <c r="K218" s="36"/>
      <c r="L218" s="36"/>
      <c r="M218" s="11">
        <v>7.95</v>
      </c>
      <c r="N218" s="5">
        <v>7.95</v>
      </c>
      <c r="O218" s="11">
        <v>3.85</v>
      </c>
      <c r="P218" s="11">
        <v>0.6</v>
      </c>
      <c r="Q218" s="37"/>
      <c r="R218" s="36"/>
      <c r="S218" s="36"/>
      <c r="T218" s="38">
        <f>IF(S218&gt;0,1.048,IF(R218&gt;0,1.048,IF(Q218&gt;0,1.036,0.907+1.55*(P218/N218)-4.449*(P218/N218)^2)))</f>
        <v>0.9986397294410823</v>
      </c>
      <c r="U218" s="39">
        <v>970</v>
      </c>
      <c r="V218" s="40">
        <f>IF(H218="x",75+U218,IF(M218&lt;6.66,150+U218,-1.7384*M218^2+92.38*M218-388+U218))</f>
        <v>1206.549774</v>
      </c>
      <c r="W218" s="5"/>
      <c r="X218" s="5"/>
      <c r="Y218" s="5"/>
      <c r="Z218" s="5"/>
      <c r="AA218" s="5"/>
      <c r="AB218" s="5"/>
      <c r="AC218" s="5">
        <v>9.5</v>
      </c>
      <c r="AD218" s="33">
        <v>24.8</v>
      </c>
      <c r="AE218" s="5">
        <f>IF(AD218=0,(W218+4*X218+2*Y218+4*Z218+AA218)*AC218/12+W218*AB218/1.5,AD218)</f>
        <v>24.8</v>
      </c>
      <c r="AF218" s="11">
        <v>9.9</v>
      </c>
      <c r="AG218" s="11">
        <v>0.48</v>
      </c>
      <c r="AH218" s="5">
        <f>IF(AC218=0,AE218+AF218*AG218/2,AE218+AC218*AG218/2)</f>
        <v>27.08</v>
      </c>
      <c r="AI218" s="3"/>
      <c r="AJ218" s="3"/>
      <c r="AK218" s="33">
        <v>8.5</v>
      </c>
      <c r="AL218" s="5">
        <f>IF(AK218=0,AI218*AJ218/2,AK218)</f>
        <v>8.5</v>
      </c>
      <c r="AM218" s="3"/>
      <c r="AN218" s="5"/>
      <c r="AO218" s="5"/>
      <c r="AP218" s="5">
        <f>AL218+AI218*(AN218-AO218)/2</f>
        <v>8.5</v>
      </c>
      <c r="AQ218" s="5">
        <f>0.1*(AE218+AL218)</f>
        <v>3.33</v>
      </c>
      <c r="AR218" s="11">
        <v>9.9</v>
      </c>
      <c r="AS218" s="11"/>
      <c r="AT218" s="11"/>
      <c r="AU218" s="11"/>
      <c r="AV218" s="33"/>
      <c r="AW218" s="5">
        <f>IF(AV218=0,AS218/6*(AT218+AU218*4),AV218)</f>
        <v>0</v>
      </c>
      <c r="AX218" s="11"/>
      <c r="AY218" s="5">
        <f>IF(AX218&lt;0.149*M218+0.329,1,AX218/(0.149*M218+0.329))</f>
        <v>1</v>
      </c>
      <c r="AZ218" s="5">
        <f>IF(AW218*AY218&gt;AL218,(AW218*AY218-AL218)/4,0)</f>
        <v>0</v>
      </c>
      <c r="BA218" s="12">
        <f>0.401+0.1831*(2*AR218^2/(AH218+AP218+AZ218))-0.02016*(2*AR218^2/(AH218+AP218+AZ218))^2+0.0007472*(2*AR218^2/(AH218+AP218+AZ218))^3</f>
        <v>0.9227950746540958</v>
      </c>
      <c r="BB218" s="3"/>
      <c r="BC218" s="3"/>
      <c r="BD218" s="3"/>
      <c r="BE218" s="3"/>
      <c r="BF218" s="33">
        <v>45</v>
      </c>
      <c r="BG218" s="5">
        <f>IF(BF218=0,(BC218+BD218)*(BB218/12+BE218/3),BF218)</f>
        <v>45</v>
      </c>
      <c r="BH218" s="5">
        <f>IF(BG218*AY218&gt;AL218+AZ218,BG218*AY218-AL218-AZ218,0)</f>
        <v>36.5</v>
      </c>
      <c r="BI218" s="5">
        <f>IF(M218/1.6&lt;8,ROUND(M218/1.6,0),8)</f>
        <v>5</v>
      </c>
      <c r="BJ218" s="5">
        <f>(AH218+AP218+AZ218)*BA218+0.1*BH218</f>
        <v>36.48304875619273</v>
      </c>
      <c r="BK218" s="11">
        <v>1.25</v>
      </c>
      <c r="BL218" s="5">
        <f>M218*0.2</f>
        <v>1.59</v>
      </c>
      <c r="BM218" s="5">
        <f>ROUNDDOWN(M218/2.13,0)</f>
        <v>3</v>
      </c>
      <c r="BN218" s="12">
        <f>M218/4.26</f>
        <v>1.866197183098592</v>
      </c>
      <c r="BO218" s="5">
        <f>IF(M218&lt;8,1.22,IF(M218&lt;15.2,0.108333*M218+0.353,2))</f>
        <v>1.22</v>
      </c>
      <c r="BP218" s="12">
        <f>IF(BK218&lt;BO218,1+0.3*(BO218-BK218)/M218,1)</f>
        <v>1</v>
      </c>
      <c r="BQ218" s="32"/>
      <c r="BR218" s="39">
        <v>0</v>
      </c>
      <c r="BS218" t="s" s="24">
        <v>154</v>
      </c>
      <c r="BT218" s="36"/>
      <c r="BU218" s="36"/>
      <c r="BV218" s="5">
        <f>IF(BQ218&lt;(M218/0.3048)^0.5,1,IF(BU218="x",1-BR218*0.02,IF(BT218="x",1-BR218*0.01,1)))</f>
        <v>1</v>
      </c>
      <c r="BW218" s="12">
        <f>IF(K218="x",MIN(1.315,1.28+U218*N218/BJ218/AR218/1100),IF(L218="x",1.28,MAX(1.245,1.28-U218*N218/BJ218/AR218/1100)))</f>
        <v>1.260590253668346</v>
      </c>
      <c r="BX218" s="41">
        <f>BW218*T218*BV218*BP218*N218^0.3*BJ218^0.4/V218^0.325</f>
        <v>0.9849794484215126</v>
      </c>
      <c r="BY218" s="29"/>
      <c r="BZ218" s="29"/>
      <c r="CA218" t="s" s="19">
        <v>162</v>
      </c>
      <c r="CB218" t="s" s="19">
        <v>607</v>
      </c>
      <c r="CC218" t="s" s="19">
        <v>164</v>
      </c>
      <c r="CD218" s="3"/>
      <c r="CE218" s="3"/>
      <c r="CF218" s="3"/>
      <c r="CG218" t="s" s="30">
        <f>A218</f>
        <v>1390</v>
      </c>
    </row>
    <row r="219" ht="12.75" customHeight="1">
      <c r="A219" t="s" s="25">
        <v>1391</v>
      </c>
      <c r="B219" t="s" s="19">
        <v>1200</v>
      </c>
      <c r="C219" t="s" s="19">
        <v>213</v>
      </c>
      <c r="D219" t="s" s="19">
        <v>1392</v>
      </c>
      <c r="E219" t="s" s="19">
        <v>1393</v>
      </c>
      <c r="F219" t="s" s="19">
        <v>1394</v>
      </c>
      <c r="G219" t="s" s="19">
        <v>1395</v>
      </c>
      <c r="H219" s="32"/>
      <c r="I219" s="32"/>
      <c r="J219" t="s" s="24">
        <v>154</v>
      </c>
      <c r="K219" s="36"/>
      <c r="L219" s="36"/>
      <c r="M219" s="11">
        <v>9.49</v>
      </c>
      <c r="N219" s="5">
        <v>9.49</v>
      </c>
      <c r="O219" s="11">
        <v>5.9</v>
      </c>
      <c r="P219" s="11">
        <v>0.85</v>
      </c>
      <c r="Q219" s="37"/>
      <c r="R219" s="36"/>
      <c r="S219" s="36"/>
      <c r="T219" s="38">
        <f>IF(S219&gt;0,1.048,IF(R219&gt;0,1.048,IF(Q219&gt;0,1.036,0.907+1.55*(P219/N219)-4.449*(P219/N219)^2)))</f>
        <v>1.010138598558074</v>
      </c>
      <c r="U219" s="39">
        <v>3000</v>
      </c>
      <c r="V219" s="40">
        <f>IF(H219="x",75+U219,IF(M219&lt;6.66,150+U219,-1.7384*M219^2+92.38*M219-388+U219))</f>
        <v>3332.12572216</v>
      </c>
      <c r="W219" s="5"/>
      <c r="X219" s="5"/>
      <c r="Y219" s="5"/>
      <c r="Z219" s="5"/>
      <c r="AA219" s="5"/>
      <c r="AB219" s="5"/>
      <c r="AC219" s="5"/>
      <c r="AD219" s="33">
        <v>37.6</v>
      </c>
      <c r="AE219" s="5">
        <f>IF(AD219=0,(W219+4*X219+2*Y219+4*Z219+AA219)*AC219/12+W219*AB219/1.5,AD219)</f>
        <v>37.6</v>
      </c>
      <c r="AF219" s="11">
        <v>12.5</v>
      </c>
      <c r="AG219" s="11"/>
      <c r="AH219" s="5">
        <f>IF(AC219=0,AE219+AF219*AG219/2,AE219+AC219*AG219/2)</f>
        <v>37.6</v>
      </c>
      <c r="AI219" s="5">
        <v>10.4</v>
      </c>
      <c r="AJ219" s="3"/>
      <c r="AK219" s="33">
        <v>23</v>
      </c>
      <c r="AL219" s="5">
        <f>IF(AK219=0,AI219*AJ219/2,AK219)</f>
        <v>23</v>
      </c>
      <c r="AM219" s="3"/>
      <c r="AN219" s="5"/>
      <c r="AO219" s="5">
        <v>0.04</v>
      </c>
      <c r="AP219" s="5">
        <f>AL219+AI219*(AN219-AO219)/2</f>
        <v>22.792</v>
      </c>
      <c r="AQ219" s="5">
        <f>0.1*(AE219+AL219)</f>
        <v>6.06</v>
      </c>
      <c r="AR219" s="11">
        <v>13</v>
      </c>
      <c r="AS219" s="11"/>
      <c r="AT219" s="11"/>
      <c r="AU219" s="11"/>
      <c r="AV219" s="33">
        <v>38</v>
      </c>
      <c r="AW219" s="5">
        <f>IF(AV219=0,AS219/6*(AT219+AU219*4),AV219)</f>
        <v>38</v>
      </c>
      <c r="AX219" s="11">
        <v>1.2</v>
      </c>
      <c r="AY219" s="5">
        <f>IF(AX219&lt;0.149*M219+0.329,1,AX219/(0.149*M219+0.329))</f>
        <v>1</v>
      </c>
      <c r="AZ219" s="5">
        <f>IF(AW219*AY219&gt;AL219,(AW219*AY219-AL219)/4,0)</f>
        <v>3.75</v>
      </c>
      <c r="BA219" s="12">
        <f>0.401+0.1831*(2*AR219^2/(AH219+AP219+AZ219))-0.02016*(2*AR219^2/(AH219+AP219+AZ219))^2+0.0007472*(2*AR219^2/(AH219+AP219+AZ219))^3</f>
        <v>0.9153833819790611</v>
      </c>
      <c r="BB219" s="3"/>
      <c r="BC219" s="3"/>
      <c r="BD219" s="3"/>
      <c r="BE219" s="3"/>
      <c r="BF219" s="33">
        <v>77</v>
      </c>
      <c r="BG219" s="5">
        <f>IF(BF219=0,(BC219+BD219)*(BB219/12+BE219/3),BF219)</f>
        <v>77</v>
      </c>
      <c r="BH219" s="5">
        <f>IF(BG219*AY219&gt;AL219+AZ219,BG219*AY219-AL219-AZ219,0)</f>
        <v>50.25</v>
      </c>
      <c r="BI219" s="5">
        <f>IF(M219/1.6&lt;8,ROUND(M219/1.6,0),8)</f>
        <v>6</v>
      </c>
      <c r="BJ219" s="5">
        <f>(AH219+AP219+AZ219)*BA219+0.1*BH219</f>
        <v>63.73952088690093</v>
      </c>
      <c r="BK219" s="11">
        <v>1.8</v>
      </c>
      <c r="BL219" s="5">
        <f>M219*0.2</f>
        <v>1.898</v>
      </c>
      <c r="BM219" s="5">
        <f>ROUNDDOWN(M219/2.13,0)</f>
        <v>4</v>
      </c>
      <c r="BN219" s="12">
        <f>M219/4.26</f>
        <v>2.227699530516432</v>
      </c>
      <c r="BO219" s="5">
        <f>IF(M219&lt;8,1.22,IF(M219&lt;15.2,0.108333*M219+0.353,2))</f>
        <v>1.38108017</v>
      </c>
      <c r="BP219" s="12">
        <f>IF(BK219&lt;BO219,1+0.3*(BO219-BK219)/M219,1)</f>
        <v>1</v>
      </c>
      <c r="BQ219" s="39">
        <v>8</v>
      </c>
      <c r="BR219" s="39">
        <v>2</v>
      </c>
      <c r="BS219" t="s" s="24">
        <v>154</v>
      </c>
      <c r="BT219" s="36"/>
      <c r="BU219" s="36"/>
      <c r="BV219" s="5">
        <f>IF(BQ219&lt;(M219/0.3048)^0.5,1,IF(BU219="x",1-BR219*0.02,IF(BT219="x",1-BR219*0.01,1)))</f>
        <v>1</v>
      </c>
      <c r="BW219" s="12">
        <f>IF(K219="x",MIN(1.315,1.28+U219*N219/BJ219/AR219/1100),IF(L219="x",1.28,MAX(1.245,1.28-U219*N219/BJ219/AR219/1100)))</f>
        <v>1.248764919108166</v>
      </c>
      <c r="BX219" s="41">
        <f>BW219*T219*BV219*BP219*N219^0.3*BJ219^0.4/V219^0.325</f>
        <v>0.9352346514364971</v>
      </c>
      <c r="BY219" s="29"/>
      <c r="BZ219" s="29"/>
      <c r="CA219" t="s" s="19">
        <v>188</v>
      </c>
      <c r="CB219" s="42">
        <v>2008</v>
      </c>
      <c r="CC219" t="s" s="19">
        <v>869</v>
      </c>
      <c r="CD219" s="3"/>
      <c r="CE219" s="3"/>
      <c r="CF219" s="3"/>
      <c r="CG219" t="s" s="30">
        <f>A219</f>
        <v>1396</v>
      </c>
    </row>
    <row r="220" ht="12.75" customHeight="1">
      <c r="A220" t="s" s="25">
        <v>1397</v>
      </c>
      <c r="B220" t="s" s="19">
        <v>338</v>
      </c>
      <c r="C220" t="s" s="19">
        <v>555</v>
      </c>
      <c r="D220" t="s" s="19">
        <v>556</v>
      </c>
      <c r="E220" t="s" s="19">
        <v>1398</v>
      </c>
      <c r="F220" s="3"/>
      <c r="G220" s="3"/>
      <c r="H220" s="32"/>
      <c r="I220" s="32"/>
      <c r="J220" t="s" s="24">
        <v>154</v>
      </c>
      <c r="K220" s="36"/>
      <c r="L220" s="36"/>
      <c r="M220" s="11">
        <v>8.529999999999999</v>
      </c>
      <c r="N220" s="5">
        <v>8.529999999999999</v>
      </c>
      <c r="O220" s="11"/>
      <c r="P220" s="11"/>
      <c r="Q220" s="37"/>
      <c r="R220" t="s" s="24">
        <v>161</v>
      </c>
      <c r="S220" s="36"/>
      <c r="T220" s="38">
        <f>IF(S220&gt;0,1.048,IF(R220&gt;0,1.048,IF(Q220&gt;0,1.036,0.907+1.55*(P220/N220)-4.449*(P220/N220)^2)))</f>
        <v>1.048</v>
      </c>
      <c r="U220" s="39">
        <v>705</v>
      </c>
      <c r="V220" s="40">
        <f>IF(H220="x",75+U220,IF(M220&lt;6.66,150+U220,-1.7384*M220^2+92.38*M220-388+U220))</f>
        <v>978.5138514399999</v>
      </c>
      <c r="W220" s="5"/>
      <c r="X220" s="5"/>
      <c r="Y220" s="5"/>
      <c r="Z220" s="5"/>
      <c r="AA220" s="5"/>
      <c r="AB220" s="5"/>
      <c r="AC220" s="5"/>
      <c r="AD220" s="33">
        <v>45.11</v>
      </c>
      <c r="AE220" s="5">
        <f>IF(AD220=0,(W220+4*X220+2*Y220+4*Z220+AA220)*AC220/12+W220*AB220/1.5,AD220)</f>
        <v>45.11</v>
      </c>
      <c r="AF220" s="11">
        <v>14.7</v>
      </c>
      <c r="AG220" s="11"/>
      <c r="AH220" s="5">
        <f>IF(AC220=0,AE220+AF220*AG220/2,AE220+AC220*AG220/2)</f>
        <v>45.11</v>
      </c>
      <c r="AI220" s="3"/>
      <c r="AJ220" s="3"/>
      <c r="AK220" s="33">
        <v>17.22</v>
      </c>
      <c r="AL220" s="5">
        <f>IF(AK220=0,AI220*AJ220/2,AK220)</f>
        <v>17.22</v>
      </c>
      <c r="AM220" s="3"/>
      <c r="AN220" s="5"/>
      <c r="AO220" s="5"/>
      <c r="AP220" s="5">
        <f>AL220+AI220*(AN220-AO220)/2</f>
        <v>17.22</v>
      </c>
      <c r="AQ220" s="5">
        <f>0.1*(AE220+AL220)</f>
        <v>6.233000000000001</v>
      </c>
      <c r="AR220" s="11">
        <v>14.71</v>
      </c>
      <c r="AS220" s="11"/>
      <c r="AT220" s="11"/>
      <c r="AU220" s="11"/>
      <c r="AV220" s="33"/>
      <c r="AW220" s="5">
        <f>IF(AV220=0,AS220/6*(AT220+AU220*4),AV220)</f>
        <v>0</v>
      </c>
      <c r="AX220" s="11">
        <v>1.2</v>
      </c>
      <c r="AY220" s="5">
        <f>IF(AX220&lt;0.149*M220+0.329,1,AX220/(0.149*M220+0.329))</f>
        <v>1</v>
      </c>
      <c r="AZ220" s="5">
        <f>IF(AW220*AY220&gt;AL220,(AW220*AY220-AL220)/4,0)</f>
        <v>0</v>
      </c>
      <c r="BA220" s="12">
        <f>0.401+0.1831*(2*AR220^2/(AH220+AP220+AZ220))-0.02016*(2*AR220^2/(AH220+AP220+AZ220))^2+0.0007472*(2*AR220^2/(AH220+AP220+AZ220))^3</f>
        <v>0.9505271145942396</v>
      </c>
      <c r="BB220" s="3"/>
      <c r="BC220" s="3"/>
      <c r="BD220" s="3"/>
      <c r="BE220" s="3"/>
      <c r="BF220" s="33">
        <v>65</v>
      </c>
      <c r="BG220" s="5">
        <f>IF(BF220=0,(BC220+BD220)*(BB220/12+BE220/3),BF220)</f>
        <v>65</v>
      </c>
      <c r="BH220" s="5">
        <f>IF(BG220*AY220&gt;AL220+AZ220,BG220*AY220-AL220-AZ220,0)</f>
        <v>47.78</v>
      </c>
      <c r="BI220" s="5">
        <f>IF(M220/1.6&lt;8,ROUND(M220/1.6,0),8)</f>
        <v>5</v>
      </c>
      <c r="BJ220" s="5">
        <f>(AH220+AP220+AZ220)*BA220+0.1*BH220</f>
        <v>64.02435505265895</v>
      </c>
      <c r="BK220" s="11">
        <v>1.22</v>
      </c>
      <c r="BL220" s="5">
        <f>M220*0.2</f>
        <v>1.706</v>
      </c>
      <c r="BM220" s="5">
        <f>ROUNDDOWN(M220/2.13,0)</f>
        <v>4</v>
      </c>
      <c r="BN220" s="12">
        <f>M220/4.26</f>
        <v>2.002347417840376</v>
      </c>
      <c r="BO220" s="5">
        <f>IF(M220&lt;8,1.22,IF(M220&lt;15.2,0.108333*M220+0.353,2))</f>
        <v>1.27708049</v>
      </c>
      <c r="BP220" s="12">
        <f>IF(BK220&lt;BO220,1+0.3*(BO220-BK220)/M220,1)</f>
        <v>1.002007520164127</v>
      </c>
      <c r="BQ220" s="32"/>
      <c r="BR220" s="39">
        <v>0</v>
      </c>
      <c r="BS220" t="s" s="24">
        <v>154</v>
      </c>
      <c r="BT220" s="36"/>
      <c r="BU220" s="36"/>
      <c r="BV220" s="5">
        <f>IF(BQ220&lt;(M220/0.3048)^0.5,1,IF(BU220="x",1-BR220*0.02,IF(BT220="x",1-BR220*0.01,1)))</f>
        <v>1</v>
      </c>
      <c r="BW220" s="12">
        <f>IF(K220="x",MIN(1.315,1.28+U220*N220/BJ220/AR220/1100),IF(L220="x",1.28,MAX(1.245,1.28-U220*N220/BJ220/AR220/1100)))</f>
        <v>1.27419519576405</v>
      </c>
      <c r="BX220" s="41">
        <f>BW220*T220*BV220*BP220*N220^0.3*BJ220^0.4/V220^0.325</f>
        <v>1.43336486063839</v>
      </c>
      <c r="BY220" s="29"/>
      <c r="BZ220" s="29"/>
      <c r="CA220" t="s" s="19">
        <v>162</v>
      </c>
      <c r="CB220" t="s" s="19">
        <v>1399</v>
      </c>
      <c r="CC220" t="s" s="19">
        <v>254</v>
      </c>
      <c r="CD220" t="s" s="19">
        <v>1400</v>
      </c>
      <c r="CE220" s="3"/>
      <c r="CF220" s="3"/>
      <c r="CG220" t="s" s="30">
        <f>A220</f>
        <v>1401</v>
      </c>
    </row>
    <row r="221" ht="12.75" customHeight="1">
      <c r="A221" t="s" s="25">
        <v>1402</v>
      </c>
      <c r="B221" t="s" s="19">
        <v>1403</v>
      </c>
      <c r="C221" t="s" s="19">
        <v>213</v>
      </c>
      <c r="D221" t="s" s="19">
        <v>1404</v>
      </c>
      <c r="E221" t="s" s="19">
        <v>1405</v>
      </c>
      <c r="F221" s="3"/>
      <c r="G221" s="3"/>
      <c r="H221" s="32"/>
      <c r="I221" s="32"/>
      <c r="J221" t="s" s="24">
        <v>154</v>
      </c>
      <c r="K221" s="36"/>
      <c r="L221" s="36"/>
      <c r="M221" s="11">
        <v>7.99</v>
      </c>
      <c r="N221" s="5">
        <v>7.99</v>
      </c>
      <c r="O221" s="11">
        <v>5.31</v>
      </c>
      <c r="P221" s="11">
        <v>0.6899999999999999</v>
      </c>
      <c r="Q221" s="37"/>
      <c r="R221" s="36"/>
      <c r="S221" s="36"/>
      <c r="T221" s="38">
        <f>IF(S221&gt;0,1.048,IF(R221&gt;0,1.048,IF(Q221&gt;0,1.036,0.907+1.55*(P221/N221)-4.449*(P221/N221)^2)))</f>
        <v>1.007675533089704</v>
      </c>
      <c r="U221" s="39">
        <v>1087</v>
      </c>
      <c r="V221" s="40">
        <f>IF(H221="x",75+U221,IF(M221&lt;6.66,150+U221,-1.7384*M221^2+92.38*M221-388+U221))</f>
        <v>1326.13657016</v>
      </c>
      <c r="W221" s="5">
        <v>3.4</v>
      </c>
      <c r="X221" s="5"/>
      <c r="Y221" s="5"/>
      <c r="Z221" s="5"/>
      <c r="AA221" s="5"/>
      <c r="AB221" s="5"/>
      <c r="AC221" s="5">
        <v>12</v>
      </c>
      <c r="AD221" s="33">
        <v>30</v>
      </c>
      <c r="AE221" s="5">
        <f>IF(AD221=0,(W221+4*X221+2*Y221+4*Z221+AA221)*AC221/12+W221*AB221/1.5,AD221)</f>
        <v>30</v>
      </c>
      <c r="AF221" s="11">
        <v>12.5</v>
      </c>
      <c r="AG221" s="11">
        <v>0.48</v>
      </c>
      <c r="AH221" s="5">
        <f>IF(AC221=0,AE221+AF221*AG221/2,AE221+AC221*AG221/2)</f>
        <v>32.88</v>
      </c>
      <c r="AI221" s="5">
        <v>9.800000000000001</v>
      </c>
      <c r="AJ221" s="3"/>
      <c r="AK221" s="33">
        <v>12.5</v>
      </c>
      <c r="AL221" s="5">
        <f>IF(AK221=0,AI221*AJ221/2,AK221)</f>
        <v>12.5</v>
      </c>
      <c r="AM221" s="3"/>
      <c r="AN221" s="5"/>
      <c r="AO221" s="5"/>
      <c r="AP221" s="5">
        <f>AL221+AI221*(AN221-AO221)/2</f>
        <v>12.5</v>
      </c>
      <c r="AQ221" s="5">
        <f>0.1*(AE221+AL221)</f>
        <v>4.25</v>
      </c>
      <c r="AR221" s="11">
        <v>12.2</v>
      </c>
      <c r="AS221" s="11"/>
      <c r="AT221" s="11"/>
      <c r="AU221" s="11"/>
      <c r="AV221" s="33"/>
      <c r="AW221" s="5">
        <f>IF(AV221=0,AS221/6*(AT221+AU221*4),AV221)</f>
        <v>0</v>
      </c>
      <c r="AX221" s="11">
        <v>1.5</v>
      </c>
      <c r="AY221" s="5">
        <f>IF(AX221&lt;0.149*M221+0.329,1,AX221/(0.149*M221+0.329))</f>
        <v>1</v>
      </c>
      <c r="AZ221" s="5">
        <f>IF(AW221*AY221&gt;AL221,(AW221*AY221-AL221)/4,0)</f>
        <v>0</v>
      </c>
      <c r="BA221" s="12">
        <f>0.401+0.1831*(2*AR221^2/(AH221+AP221+AZ221))-0.02016*(2*AR221^2/(AH221+AP221+AZ221))^2+0.0007472*(2*AR221^2/(AH221+AP221+AZ221))^3</f>
        <v>0.9455092451515686</v>
      </c>
      <c r="BB221" s="3"/>
      <c r="BC221" s="3"/>
      <c r="BD221" s="3"/>
      <c r="BE221" s="3"/>
      <c r="BF221" s="33">
        <v>50</v>
      </c>
      <c r="BG221" s="5">
        <f>IF(BF221=0,(BC221+BD221)*(BB221/12+BE221/3),BF221)</f>
        <v>50</v>
      </c>
      <c r="BH221" s="5">
        <f>IF(BG221*AY221&gt;AL221+AZ221,BG221*AY221-AL221-AZ221,0)</f>
        <v>37.5</v>
      </c>
      <c r="BI221" s="5">
        <f>IF(M221/1.6&lt;8,ROUND(M221/1.6,0),8)</f>
        <v>5</v>
      </c>
      <c r="BJ221" s="5">
        <f>(AH221+AP221+AZ221)*BA221+0.1*BH221</f>
        <v>46.65720954497819</v>
      </c>
      <c r="BK221" s="11">
        <v>1.22</v>
      </c>
      <c r="BL221" s="5">
        <f>M221*0.2</f>
        <v>1.598</v>
      </c>
      <c r="BM221" s="5">
        <f>ROUNDDOWN(M221/2.13,0)</f>
        <v>3</v>
      </c>
      <c r="BN221" s="12">
        <f>M221/4.26</f>
        <v>1.875586854460094</v>
      </c>
      <c r="BO221" s="5">
        <f>IF(M221&lt;8,1.22,IF(M221&lt;15.2,0.108333*M221+0.353,2))</f>
        <v>1.22</v>
      </c>
      <c r="BP221" s="12">
        <f>IF(BK221&lt;BO221,1+0.3*(BO221-BK221)/M221,1)</f>
        <v>1</v>
      </c>
      <c r="BQ221" s="32"/>
      <c r="BR221" s="32"/>
      <c r="BS221" t="s" s="24">
        <v>154</v>
      </c>
      <c r="BT221" s="36"/>
      <c r="BU221" s="36"/>
      <c r="BV221" s="5">
        <f>IF(BQ221&lt;(M221/0.3048)^0.5,1,IF(BU221="x",1-BR221*0.02,IF(BT221="x",1-BR221*0.01,1)))</f>
        <v>1</v>
      </c>
      <c r="BW221" s="12">
        <f>IF(K221="x",MIN(1.315,1.28+U221*N221/BJ221/AR221/1100),IF(L221="x",1.28,MAX(1.245,1.28-U221*N221/BJ221/AR221/1100)))</f>
        <v>1.266129087043332</v>
      </c>
      <c r="BX221" s="41">
        <f>BW221*T221*BV221*BP221*N221^0.3*BJ221^0.4/V221^0.325</f>
        <v>1.069766654166846</v>
      </c>
      <c r="BY221" s="29"/>
      <c r="BZ221" s="48"/>
      <c r="CA221" t="s" s="19">
        <v>213</v>
      </c>
      <c r="CB221" t="s" s="19">
        <v>357</v>
      </c>
      <c r="CC221" t="s" s="19">
        <v>848</v>
      </c>
      <c r="CD221" t="s" s="19">
        <v>1406</v>
      </c>
      <c r="CE221" s="3"/>
      <c r="CF221" s="3"/>
      <c r="CG221" t="s" s="30">
        <f>A221</f>
        <v>1407</v>
      </c>
    </row>
    <row r="222" ht="12.75" customHeight="1">
      <c r="A222" t="s" s="25">
        <v>1408</v>
      </c>
      <c r="B222" t="s" s="19">
        <v>1409</v>
      </c>
      <c r="C222" t="s" s="19">
        <v>1410</v>
      </c>
      <c r="D222" t="s" s="19">
        <v>169</v>
      </c>
      <c r="E222" t="s" s="19">
        <v>1411</v>
      </c>
      <c r="F222" s="3"/>
      <c r="G222" t="s" s="19">
        <v>1412</v>
      </c>
      <c r="H222" s="32"/>
      <c r="I222" s="32"/>
      <c r="J222" s="36"/>
      <c r="K222" t="s" s="24">
        <v>154</v>
      </c>
      <c r="L222" s="36"/>
      <c r="M222" s="11">
        <v>8.539999999999999</v>
      </c>
      <c r="N222" s="5">
        <v>8.039999999999999</v>
      </c>
      <c r="O222" s="11"/>
      <c r="P222" s="11"/>
      <c r="Q222" s="37"/>
      <c r="R222" t="s" s="24">
        <v>161</v>
      </c>
      <c r="S222" s="36"/>
      <c r="T222" s="38">
        <f>IF(S222&gt;0,1.048,IF(R222&gt;0,1.048,IF(Q222&gt;0,1.036,0.907+1.55*(P222/N222)-4.449*(P222/N222)^2)))</f>
        <v>1.048</v>
      </c>
      <c r="U222" s="39">
        <v>1700</v>
      </c>
      <c r="V222" s="40">
        <f>IF(H222="x",75+U222,IF(M222&lt;6.66,150+U222,-1.7384*M222^2+92.38*M222-388+U222))</f>
        <v>1974.14090656</v>
      </c>
      <c r="W222" s="5"/>
      <c r="X222" s="5"/>
      <c r="Y222" s="5"/>
      <c r="Z222" s="5"/>
      <c r="AA222" s="5"/>
      <c r="AB222" s="5"/>
      <c r="AC222" s="5"/>
      <c r="AD222" s="33">
        <v>28.9</v>
      </c>
      <c r="AE222" s="5">
        <f>IF(AD222=0,(W222+4*X222+2*Y222+4*Z222+AA222)*AC222/12+W222*AB222/1.5,AD222)</f>
        <v>28.9</v>
      </c>
      <c r="AF222" s="11">
        <v>11.2</v>
      </c>
      <c r="AG222" s="11"/>
      <c r="AH222" s="5">
        <f>IF(AC222=0,AE222+AF222*AG222/2,AE222+AC222*AG222/2)</f>
        <v>28.9</v>
      </c>
      <c r="AI222" s="5">
        <v>10.1</v>
      </c>
      <c r="AJ222" s="3"/>
      <c r="AK222" s="33">
        <v>20</v>
      </c>
      <c r="AL222" s="5">
        <f>IF(AK222=0,AI222*AJ222/2,AK222)</f>
        <v>20</v>
      </c>
      <c r="AM222" s="3"/>
      <c r="AN222" s="5"/>
      <c r="AO222" s="5">
        <v>0.145</v>
      </c>
      <c r="AP222" s="5">
        <f>AL222+AI222*(AN222-AO222)/2</f>
        <v>19.26775</v>
      </c>
      <c r="AQ222" s="5">
        <f>0.1*(AE222+AL222)</f>
        <v>4.890000000000001</v>
      </c>
      <c r="AR222" s="11">
        <v>11.2</v>
      </c>
      <c r="AS222" s="11"/>
      <c r="AT222" s="11"/>
      <c r="AU222" s="11"/>
      <c r="AV222" s="33"/>
      <c r="AW222" s="5">
        <f>IF(AV222=0,AS222/6*(AT222+AU222*4),AV222)</f>
        <v>0</v>
      </c>
      <c r="AX222" s="11"/>
      <c r="AY222" s="5">
        <f>IF(AX222&lt;0.149*M222+0.329,1,AX222/(0.149*M222+0.329))</f>
        <v>1</v>
      </c>
      <c r="AZ222" s="5">
        <f>IF(AW222*AY222&gt;AL222,(AW222*AY222-AL222)/4,0)</f>
        <v>0</v>
      </c>
      <c r="BA222" s="12">
        <f>0.401+0.1831*(2*AR222^2/(AH222+AP222+AZ222))-0.02016*(2*AR222^2/(AH222+AP222+AZ222))^2+0.0007472*(2*AR222^2/(AH222+AP222+AZ222))^3</f>
        <v>0.9133434841869206</v>
      </c>
      <c r="BB222" s="3"/>
      <c r="BC222" s="3"/>
      <c r="BD222" s="3"/>
      <c r="BE222" s="3"/>
      <c r="BF222" s="33">
        <v>64</v>
      </c>
      <c r="BG222" s="5">
        <f>IF(BF222=0,(BC222+BD222)*(BB222/12+BE222/3),BF222)</f>
        <v>64</v>
      </c>
      <c r="BH222" s="5">
        <f>IF(BG222*AY222&gt;AL222+AZ222,BG222*AY222-AL222-AZ222,0)</f>
        <v>44</v>
      </c>
      <c r="BI222" s="5">
        <f>IF(M222/1.6&lt;8,ROUND(M222/1.6,0),8)</f>
        <v>5</v>
      </c>
      <c r="BJ222" s="5">
        <f>(AH222+AP222+AZ222)*BA222+0.1*BH222</f>
        <v>48.39370061044454</v>
      </c>
      <c r="BK222" s="11">
        <v>1.7</v>
      </c>
      <c r="BL222" s="5">
        <f>M222*0.2</f>
        <v>1.708</v>
      </c>
      <c r="BM222" s="5">
        <f>ROUNDDOWN(M222/2.13,0)</f>
        <v>4</v>
      </c>
      <c r="BN222" s="12">
        <f>M222/4.26</f>
        <v>2.004694835680751</v>
      </c>
      <c r="BO222" s="5">
        <f>IF(M222&lt;8,1.22,IF(M222&lt;15.2,0.108333*M222+0.353,2))</f>
        <v>1.27816382</v>
      </c>
      <c r="BP222" s="12">
        <f>IF(BK222&lt;BO222,1+0.3*(BO222-BK222)/M222,1)</f>
        <v>1</v>
      </c>
      <c r="BQ222" s="32"/>
      <c r="BR222" s="39">
        <v>0</v>
      </c>
      <c r="BS222" t="s" s="24">
        <v>154</v>
      </c>
      <c r="BT222" s="36"/>
      <c r="BU222" s="36"/>
      <c r="BV222" s="5">
        <f>IF(BQ222&lt;(M222/0.3048)^0.5,1,IF(BU222="x",1-BR222*0.02,IF(BT222="x",1-BR222*0.01,1)))</f>
        <v>1</v>
      </c>
      <c r="BW222" s="12">
        <f>IF(K222="x",MIN(1.315,1.28+U222*N222/BJ222/AR222/1100),IF(L222="x",1.28,MAX(1.245,1.28-U222*N222/BJ222/AR222/1100)))</f>
        <v>1.302924793318578</v>
      </c>
      <c r="BX222" s="41">
        <f>BW222*T222*BV222*BP222*N222^0.3*BJ222^0.4/V222^0.325</f>
        <v>1.022763170922619</v>
      </c>
      <c r="BY222" s="29"/>
      <c r="BZ222" s="29"/>
      <c r="CA222" t="s" s="19">
        <v>162</v>
      </c>
      <c r="CB222" t="s" s="19">
        <v>723</v>
      </c>
      <c r="CC222" t="s" s="19">
        <v>180</v>
      </c>
      <c r="CD222" t="s" s="19">
        <v>1413</v>
      </c>
      <c r="CE222" s="3"/>
      <c r="CF222" s="3"/>
      <c r="CG222" t="s" s="30">
        <f>A222</f>
        <v>1414</v>
      </c>
    </row>
    <row r="223" ht="12.75" customHeight="1">
      <c r="A223" t="s" s="25">
        <v>1415</v>
      </c>
      <c r="B223" t="s" s="19">
        <v>1171</v>
      </c>
      <c r="C223" t="s" s="19">
        <v>784</v>
      </c>
      <c r="D223" t="s" s="19">
        <v>219</v>
      </c>
      <c r="E223" t="s" s="19">
        <v>1416</v>
      </c>
      <c r="F223" s="3"/>
      <c r="G223" s="3"/>
      <c r="H223" s="32"/>
      <c r="I223" s="32"/>
      <c r="J223" t="s" s="24">
        <v>154</v>
      </c>
      <c r="K223" s="36"/>
      <c r="L223" s="36"/>
      <c r="M223" s="11">
        <v>11.3</v>
      </c>
      <c r="N223" s="5">
        <v>11.2</v>
      </c>
      <c r="O223" s="11"/>
      <c r="P223" s="11"/>
      <c r="Q223" s="37"/>
      <c r="R223" t="s" s="24">
        <v>161</v>
      </c>
      <c r="S223" s="36"/>
      <c r="T223" s="38">
        <f>IF(S223&gt;0,1.048,IF(R223&gt;0,1.048,IF(Q223&gt;0,1.036,0.907+1.55*(P223/N223)-4.449*(P223/N223)^2)))</f>
        <v>1.048</v>
      </c>
      <c r="U223" s="39">
        <v>6500</v>
      </c>
      <c r="V223" s="40">
        <f>IF(H223="x",75+U223,IF(M223&lt;6.66,150+U223,-1.7384*M223^2+92.38*M223-388+U223))</f>
        <v>6933.917704</v>
      </c>
      <c r="W223" s="5"/>
      <c r="X223" s="5"/>
      <c r="Y223" s="5"/>
      <c r="Z223" s="5"/>
      <c r="AA223" s="5"/>
      <c r="AB223" s="5"/>
      <c r="AC223" s="5">
        <v>13.28</v>
      </c>
      <c r="AD223" s="33">
        <v>52</v>
      </c>
      <c r="AE223" s="5">
        <f>IF(AD223=0,(W223+4*X223+2*Y223+4*Z223+AA223)*AC223/12+W223*AB223/1.5,AD223)</f>
        <v>52</v>
      </c>
      <c r="AF223" s="11">
        <v>15</v>
      </c>
      <c r="AG223" s="11"/>
      <c r="AH223" s="5">
        <f>IF(AC223=0,AE223+AF223*AG223/2,AE223+AC223*AG223/2)</f>
        <v>52</v>
      </c>
      <c r="AI223" s="3"/>
      <c r="AJ223" s="3"/>
      <c r="AK223" s="33">
        <v>37</v>
      </c>
      <c r="AL223" s="5">
        <f>IF(AK223=0,AI223*AJ223/2,AK223)</f>
        <v>37</v>
      </c>
      <c r="AM223" s="3"/>
      <c r="AN223" s="5"/>
      <c r="AO223" s="5"/>
      <c r="AP223" s="5">
        <f>AL223+AI223*(AN223-AO223)/2</f>
        <v>37</v>
      </c>
      <c r="AQ223" s="5">
        <f>0.1*(AE223+AL223)</f>
        <v>8.9</v>
      </c>
      <c r="AR223" s="11">
        <v>15.5</v>
      </c>
      <c r="AS223" s="11"/>
      <c r="AT223" s="11"/>
      <c r="AU223" s="11"/>
      <c r="AV223" s="33"/>
      <c r="AW223" s="5">
        <f>IF(AV223=0,AS223/6*(AT223+AU223*4),AV223)</f>
        <v>0</v>
      </c>
      <c r="AX223" s="11">
        <v>0</v>
      </c>
      <c r="AY223" s="5">
        <f>IF(AX223&lt;0.149*M223+0.329,1,AX223/(0.149*M223+0.329))</f>
        <v>1</v>
      </c>
      <c r="AZ223" s="5">
        <f>IF(AW223*AY223&gt;AL223,(AW223*AY223-AL223)/4,0)</f>
        <v>0</v>
      </c>
      <c r="BA223" s="12">
        <f>0.401+0.1831*(2*AR223^2/(AH223+AP223+AZ223))-0.02016*(2*AR223^2/(AH223+AP223+AZ223))^2+0.0007472*(2*AR223^2/(AH223+AP223+AZ223))^3</f>
        <v>0.9194969546113376</v>
      </c>
      <c r="BB223" s="3"/>
      <c r="BC223" s="3"/>
      <c r="BD223" s="3"/>
      <c r="BE223" s="3"/>
      <c r="BF223" s="33"/>
      <c r="BG223" s="5">
        <f>IF(BF223=0,(BC223+BD223)*(BB223/12+BE223/3),BF223)</f>
        <v>0</v>
      </c>
      <c r="BH223" s="5">
        <f>IF(BG223*AY223&gt;AL223+AZ223,BG223*AY223-AL223-AZ223,0)</f>
        <v>0</v>
      </c>
      <c r="BI223" s="5">
        <f>IF(M223/1.6&lt;8,ROUND(M223/1.6,0),8)</f>
        <v>7</v>
      </c>
      <c r="BJ223" s="5">
        <f>(AH223+AP223+AZ223)*BA223+0.1*BH223</f>
        <v>81.83522896040905</v>
      </c>
      <c r="BK223" s="11">
        <v>1.9</v>
      </c>
      <c r="BL223" s="5">
        <f>M223*0.2</f>
        <v>2.26</v>
      </c>
      <c r="BM223" s="5">
        <f>ROUNDDOWN(M223/2.13,0)</f>
        <v>5</v>
      </c>
      <c r="BN223" s="12">
        <f>M223/4.26</f>
        <v>2.652582159624413</v>
      </c>
      <c r="BO223" s="5">
        <f>IF(M223&lt;8,1.22,IF(M223&lt;15.2,0.108333*M223+0.353,2))</f>
        <v>1.5771629</v>
      </c>
      <c r="BP223" s="12">
        <f>IF(BK223&lt;BO223,1+0.3*(BO223-BK223)/M223,1)</f>
        <v>1</v>
      </c>
      <c r="BQ223" s="32"/>
      <c r="BR223" s="32"/>
      <c r="BS223" t="s" s="24">
        <v>154</v>
      </c>
      <c r="BT223" s="36"/>
      <c r="BU223" s="36"/>
      <c r="BV223" s="5">
        <f>IF(BQ223&lt;(M223/0.3048)^0.5,1,IF(BU223="x",1-BR223*0.02,IF(BT223="x",1-BR223*0.01,1)))</f>
        <v>1</v>
      </c>
      <c r="BW223" s="12">
        <f>IF(K223="x",MIN(1.315,1.28+U223*N223/BJ223/AR223/1100),IF(L223="x",1.28,MAX(1.245,1.28-U223*N223/BJ223/AR223/1100)))</f>
        <v>1.245</v>
      </c>
      <c r="BX223" s="41">
        <f>BW223*T223*BV223*BP223*N223^0.3*BJ223^0.4/V223^0.325</f>
        <v>0.8854297086352494</v>
      </c>
      <c r="BY223" s="29"/>
      <c r="BZ223" s="29"/>
      <c r="CA223" t="s" s="19">
        <v>1055</v>
      </c>
      <c r="CB223" s="46">
        <v>37994</v>
      </c>
      <c r="CC223" t="s" s="19">
        <v>180</v>
      </c>
      <c r="CD223" t="s" s="19">
        <v>1417</v>
      </c>
      <c r="CE223" s="3"/>
      <c r="CF223" s="3"/>
      <c r="CG223" t="s" s="30">
        <f>A223</f>
        <v>1418</v>
      </c>
    </row>
    <row r="224" ht="12.75" customHeight="1">
      <c r="A224" t="s" s="25">
        <v>1419</v>
      </c>
      <c r="B224" t="s" s="19">
        <v>325</v>
      </c>
      <c r="C224" t="s" s="19">
        <v>213</v>
      </c>
      <c r="D224" t="s" s="19">
        <v>169</v>
      </c>
      <c r="E224" t="s" s="19">
        <v>1420</v>
      </c>
      <c r="F224" s="3"/>
      <c r="G224" s="3"/>
      <c r="H224" s="32"/>
      <c r="I224" s="32"/>
      <c r="J224" t="s" s="24">
        <v>154</v>
      </c>
      <c r="K224" s="36"/>
      <c r="L224" s="36"/>
      <c r="M224" s="11">
        <v>14.4</v>
      </c>
      <c r="N224" s="5">
        <v>14.4</v>
      </c>
      <c r="O224" s="11">
        <v>8.300000000000001</v>
      </c>
      <c r="P224" s="11"/>
      <c r="Q224" s="37"/>
      <c r="R224" t="s" s="24">
        <v>1421</v>
      </c>
      <c r="S224" s="36"/>
      <c r="T224" s="38">
        <f>IF(S224&gt;0,1.048,IF(R224&gt;0,1.048,IF(Q224&gt;0,1.036,0.907+1.55*(P224/N224)-4.449*(P224/N224)^2)))</f>
        <v>1.048</v>
      </c>
      <c r="U224" s="39">
        <v>7600</v>
      </c>
      <c r="V224" s="40">
        <f>IF(H224="x",75+U224,IF(M224&lt;6.66,150+U224,-1.7384*M224^2+92.38*M224-388+U224))</f>
        <v>8181.797376</v>
      </c>
      <c r="W224" s="5"/>
      <c r="X224" s="5"/>
      <c r="Y224" s="5"/>
      <c r="Z224" s="5"/>
      <c r="AA224" s="5"/>
      <c r="AB224" s="5"/>
      <c r="AC224" s="5">
        <v>18.2</v>
      </c>
      <c r="AD224" s="33">
        <v>82</v>
      </c>
      <c r="AE224" s="5">
        <f>IF(AD224=0,(W224+4*X224+2*Y224+4*Z224+AA224)*AC224/12+W224*AB224/1.5,AD224)</f>
        <v>82</v>
      </c>
      <c r="AF224" s="11">
        <v>19.1</v>
      </c>
      <c r="AG224" s="11">
        <v>0.9</v>
      </c>
      <c r="AH224" s="5">
        <f>IF(AC224=0,AE224+AF224*AG224/2,AE224+AC224*AG224/2)</f>
        <v>90.19</v>
      </c>
      <c r="AI224" s="5">
        <v>16.3</v>
      </c>
      <c r="AJ224" s="3"/>
      <c r="AK224" s="33">
        <v>53</v>
      </c>
      <c r="AL224" s="5">
        <f>IF(AK224=0,AI224*AJ224/2,AK224)</f>
        <v>53</v>
      </c>
      <c r="AM224" s="3"/>
      <c r="AN224" s="5"/>
      <c r="AO224" s="5">
        <v>0.174</v>
      </c>
      <c r="AP224" s="5">
        <f>AL224+AI224*(AN224-AO224)/2</f>
        <v>51.5819</v>
      </c>
      <c r="AQ224" s="5">
        <f>0.1*(AE224+AL224)</f>
        <v>13.5</v>
      </c>
      <c r="AR224" s="11">
        <v>19.52</v>
      </c>
      <c r="AS224" s="11"/>
      <c r="AT224" s="11"/>
      <c r="AU224" s="11"/>
      <c r="AV224" s="33">
        <v>90</v>
      </c>
      <c r="AW224" s="5">
        <f>IF(AV224=0,AS224/6*(AT224+AU224*4),AV224)</f>
        <v>90</v>
      </c>
      <c r="AX224" s="11">
        <v>1.43</v>
      </c>
      <c r="AY224" s="5">
        <f>IF(AX224&lt;0.149*M224+0.329,1,AX224/(0.149*M224+0.329))</f>
        <v>1</v>
      </c>
      <c r="AZ224" s="5">
        <f>IF(AW224*AY224&gt;AL224,(AW224*AY224-AL224)/4,0)</f>
        <v>9.25</v>
      </c>
      <c r="BA224" s="12">
        <f>0.401+0.1831*(2*AR224^2/(AH224+AP224+AZ224))-0.02016*(2*AR224^2/(AH224+AP224+AZ224))^2+0.0007472*(2*AR224^2/(AH224+AP224+AZ224))^3</f>
        <v>0.9076090140412368</v>
      </c>
      <c r="BB224" s="3"/>
      <c r="BC224" s="3"/>
      <c r="BD224" s="3"/>
      <c r="BE224" s="3"/>
      <c r="BF224" s="33">
        <v>176</v>
      </c>
      <c r="BG224" s="5">
        <f>IF(BF224=0,(BC224+BD224)*(BB224/12+BE224/3),BF224)</f>
        <v>176</v>
      </c>
      <c r="BH224" s="5">
        <f>IF(BG224*AY224&gt;AL224+AZ224,BG224*AY224-AL224-AZ224,0)</f>
        <v>113.75</v>
      </c>
      <c r="BI224" s="42">
        <f>IF(M224/1.6&lt;8,ROUND(M224/1.6,0),8)</f>
        <v>8</v>
      </c>
      <c r="BJ224" s="5">
        <f>(AH224+AP224+AZ224)*BA224+0.1*BH224</f>
        <v>148.4438377576342</v>
      </c>
      <c r="BK224" s="11">
        <v>2</v>
      </c>
      <c r="BL224" s="5">
        <f>M224*0.2</f>
        <v>2.88</v>
      </c>
      <c r="BM224" s="5">
        <f>ROUNDDOWN(M224/2.13,0)</f>
        <v>6</v>
      </c>
      <c r="BN224" s="12">
        <f>M224/4.26</f>
        <v>3.380281690140845</v>
      </c>
      <c r="BO224" s="5">
        <f>IF(M224&lt;8,1.22,IF(M224&lt;15.2,0.108333*M224+0.353,2))</f>
        <v>1.9129952</v>
      </c>
      <c r="BP224" s="12">
        <f>IF(BK224&lt;BO224,1+0.3*(BO224-BK224)/M224,1)</f>
        <v>1</v>
      </c>
      <c r="BQ224" s="39">
        <v>8</v>
      </c>
      <c r="BR224" s="39">
        <v>2</v>
      </c>
      <c r="BS224" s="36"/>
      <c r="BT224" t="s" s="24">
        <v>154</v>
      </c>
      <c r="BU224" s="36"/>
      <c r="BV224" s="5">
        <f>IF(BQ224&lt;(M224/0.3048)^0.5,1,IF(BU224="x",1-BR224*0.02,IF(BT224="x",1-BR224*0.01,1)))</f>
        <v>0.98</v>
      </c>
      <c r="BW224" s="12">
        <f>IF(K224="x",MIN(1.315,1.28+U224*N224/BJ224/AR224/1100),IF(L224="x",1.28,MAX(1.245,1.28-U224*N224/BJ224/AR224/1100)))</f>
        <v>1.245664655267848</v>
      </c>
      <c r="BX224" s="41">
        <f>BW224*T224*BV224*BP224*N224^0.3*BJ224^0.4/V224^0.325</f>
        <v>1.125761218128619</v>
      </c>
      <c r="BY224" s="29"/>
      <c r="BZ224" s="29"/>
      <c r="CA224" t="s" s="19">
        <v>213</v>
      </c>
      <c r="CB224" t="s" s="19">
        <v>1422</v>
      </c>
      <c r="CC224" t="s" s="19">
        <v>848</v>
      </c>
      <c r="CD224" t="s" s="19">
        <v>1423</v>
      </c>
      <c r="CE224" s="3"/>
      <c r="CF224" s="3"/>
      <c r="CG224" t="s" s="30">
        <f>A224</f>
        <v>1424</v>
      </c>
    </row>
    <row r="225" ht="12.75" customHeight="1">
      <c r="A225" t="s" s="25">
        <v>1425</v>
      </c>
      <c r="B225" t="s" s="19">
        <v>1426</v>
      </c>
      <c r="C225" t="s" s="19">
        <v>213</v>
      </c>
      <c r="D225" t="s" s="19">
        <v>1427</v>
      </c>
      <c r="E225" t="s" s="19">
        <v>1428</v>
      </c>
      <c r="F225" t="s" s="19">
        <v>1429</v>
      </c>
      <c r="G225" t="s" s="19">
        <v>1430</v>
      </c>
      <c r="H225" s="32"/>
      <c r="I225" s="32"/>
      <c r="J225" t="s" s="24">
        <v>154</v>
      </c>
      <c r="K225" s="36"/>
      <c r="L225" s="36"/>
      <c r="M225" s="11">
        <v>7.99</v>
      </c>
      <c r="N225" s="5">
        <v>7.7</v>
      </c>
      <c r="O225" s="11">
        <v>4.8</v>
      </c>
      <c r="P225" s="11">
        <v>0.6899999999999999</v>
      </c>
      <c r="Q225" s="37"/>
      <c r="R225" s="36"/>
      <c r="S225" s="36"/>
      <c r="T225" s="38">
        <f>IF(S225&gt;0,1.048,IF(R225&gt;0,1.048,IF(Q225&gt;0,1.036,0.907+1.55*(P225/N225)-4.449*(P225/N225)^2)))</f>
        <v>1.01017053634677</v>
      </c>
      <c r="U225" s="39">
        <v>1250</v>
      </c>
      <c r="V225" s="40">
        <f>IF(H225="x",75+U225,IF(M225&lt;6.66,150+U225,-1.7384*M225^2+92.38*M225-388+U225))</f>
        <v>1489.13657016</v>
      </c>
      <c r="W225" s="5"/>
      <c r="X225" s="5"/>
      <c r="Y225" s="5"/>
      <c r="Z225" s="5"/>
      <c r="AA225" s="5"/>
      <c r="AB225" s="5"/>
      <c r="AC225" s="5">
        <v>10.69</v>
      </c>
      <c r="AD225" s="33">
        <v>31</v>
      </c>
      <c r="AE225" s="5">
        <f>IF(AD225=0,(W225+4*X225+2*Y225+4*Z225+AA225)*AC225/12+W225*AB225/1.5,AD225)</f>
        <v>31</v>
      </c>
      <c r="AF225" s="11">
        <v>11.3</v>
      </c>
      <c r="AG225" s="11">
        <v>0.539</v>
      </c>
      <c r="AH225" s="5">
        <f>IF(AC225=0,AE225+AF225*AG225/2,AE225+AC225*AG225/2)</f>
        <v>33.880955</v>
      </c>
      <c r="AI225" s="5">
        <v>9.699999999999999</v>
      </c>
      <c r="AJ225" s="3"/>
      <c r="AK225" s="33">
        <v>16</v>
      </c>
      <c r="AL225" s="5">
        <f>IF(AK225=0,AI225*AJ225/2,AK225)</f>
        <v>16</v>
      </c>
      <c r="AM225" s="3"/>
      <c r="AN225" s="5"/>
      <c r="AO225" s="5">
        <v>0.095</v>
      </c>
      <c r="AP225" s="5">
        <f>AL225+AI225*(AN225-AO225)/2</f>
        <v>15.53925</v>
      </c>
      <c r="AQ225" s="5">
        <f>0.1*(AE225+AL225)</f>
        <v>4.7</v>
      </c>
      <c r="AR225" s="11">
        <v>11.3</v>
      </c>
      <c r="AS225" s="11"/>
      <c r="AT225" s="11"/>
      <c r="AU225" s="11"/>
      <c r="AV225" s="33">
        <v>30</v>
      </c>
      <c r="AW225" s="5">
        <f>IF(AV225=0,AS225/6*(AT225+AU225*4),AV225)</f>
        <v>30</v>
      </c>
      <c r="AX225" s="11">
        <v>1.15</v>
      </c>
      <c r="AY225" s="5">
        <f>IF(AX225&lt;0.149*M225+0.329,1,AX225/(0.149*M225+0.329))</f>
        <v>1</v>
      </c>
      <c r="AZ225" s="5">
        <f>IF(AW225*AY225&gt;AL225,(AW225*AY225-AL225)/4,0)</f>
        <v>3.5</v>
      </c>
      <c r="BA225" s="12">
        <f>0.401+0.1831*(2*AR225^2/(AH225+AP225+AZ225))-0.02016*(2*AR225^2/(AH225+AP225+AZ225))^2+0.0007472*(2*AR225^2/(AH225+AP225+AZ225))^3</f>
        <v>0.8990831384353302</v>
      </c>
      <c r="BB225" s="3"/>
      <c r="BC225" s="3"/>
      <c r="BD225" s="3"/>
      <c r="BE225" s="3"/>
      <c r="BF225" s="33">
        <v>52</v>
      </c>
      <c r="BG225" s="5">
        <f>IF(BF225=0,(BC225+BD225)*(BB225/12+BE225/3),BF225)</f>
        <v>52</v>
      </c>
      <c r="BH225" s="5">
        <f>IF(BG225*AY225&gt;AL225+AZ225,BG225*AY225-AL225-AZ225,0)</f>
        <v>32.5</v>
      </c>
      <c r="BI225" s="5">
        <f>IF(M225/1.6&lt;8,ROUND(M225/1.6,0),8)</f>
        <v>5</v>
      </c>
      <c r="BJ225" s="5">
        <f>(AH225+AP225+AZ225)*BA225+0.1*BH225</f>
        <v>50.82966399804105</v>
      </c>
      <c r="BK225" s="11">
        <v>1.4</v>
      </c>
      <c r="BL225" s="5">
        <f>M225*0.2</f>
        <v>1.598</v>
      </c>
      <c r="BM225" s="5">
        <f>ROUNDDOWN(M225/2.13,0)</f>
        <v>3</v>
      </c>
      <c r="BN225" s="12">
        <f>M225/4.26</f>
        <v>1.875586854460094</v>
      </c>
      <c r="BO225" s="5">
        <f>IF(M225&lt;8,1.22,IF(M225&lt;15.2,0.108333*M225+0.353,2))</f>
        <v>1.22</v>
      </c>
      <c r="BP225" s="12">
        <f>IF(BK225&lt;BO225,1+0.3*(BO225-BK225)/M225,1)</f>
        <v>1</v>
      </c>
      <c r="BQ225" s="39">
        <v>6</v>
      </c>
      <c r="BR225" s="39">
        <v>1</v>
      </c>
      <c r="BS225" t="s" s="24">
        <v>154</v>
      </c>
      <c r="BT225" s="36"/>
      <c r="BU225" s="36"/>
      <c r="BV225" s="5">
        <f>IF(BQ225&lt;(M225/0.3048)^0.5,1,IF(BU225="x",1-BR225*0.02,IF(BT225="x",1-BR225*0.01,1)))</f>
        <v>1</v>
      </c>
      <c r="BW225" s="12">
        <f>IF(K225="x",MIN(1.315,1.28+U225*N225/BJ225/AR225/1100),IF(L225="x",1.28,MAX(1.245,1.28-U225*N225/BJ225/AR225/1100)))</f>
        <v>1.264766055443221</v>
      </c>
      <c r="BX225" s="41">
        <f>BW225*T225*BV225*BP225*N225^0.3*BJ225^0.4/V225^0.325</f>
        <v>1.055833140797943</v>
      </c>
      <c r="BY225" s="29"/>
      <c r="BZ225" s="29"/>
      <c r="CA225" s="3"/>
      <c r="CB225" s="3"/>
      <c r="CC225" s="3"/>
      <c r="CD225" s="3"/>
      <c r="CE225" s="3"/>
      <c r="CF225" s="3"/>
      <c r="CG225" t="s" s="30">
        <f>A225</f>
        <v>1431</v>
      </c>
    </row>
    <row r="226" ht="12.75" customHeight="1">
      <c r="A226" t="s" s="25">
        <v>1432</v>
      </c>
      <c r="B226" t="s" s="19">
        <v>1433</v>
      </c>
      <c r="C226" t="s" s="19">
        <v>213</v>
      </c>
      <c r="D226" t="s" s="19">
        <v>1434</v>
      </c>
      <c r="E226" t="s" s="19">
        <v>1434</v>
      </c>
      <c r="F226" s="3"/>
      <c r="G226" s="3"/>
      <c r="H226" s="32"/>
      <c r="I226" s="32"/>
      <c r="J226" s="36"/>
      <c r="K226" t="s" s="24">
        <v>154</v>
      </c>
      <c r="L226" s="36"/>
      <c r="M226" s="11">
        <v>15.24</v>
      </c>
      <c r="N226" s="5">
        <v>15.22</v>
      </c>
      <c r="O226" s="11">
        <v>12.5</v>
      </c>
      <c r="P226" s="11"/>
      <c r="Q226" s="37"/>
      <c r="R226" t="s" s="24">
        <v>1435</v>
      </c>
      <c r="S226" s="36"/>
      <c r="T226" s="38">
        <f>IF(S226&gt;0,1.048,IF(R226&gt;0,1.048,IF(Q226&gt;0,1.036,0.907+1.55*(P226/N226)-4.449*(P226/N226)^2)))</f>
        <v>1.048</v>
      </c>
      <c r="U226" s="39">
        <v>6700</v>
      </c>
      <c r="V226" s="40">
        <f>IF(H226="x",75+U226,IF(M226&lt;6.66,150+U226,-1.7384*M226^2+92.38*M226-388+U226))</f>
        <v>7316.11458816</v>
      </c>
      <c r="W226" s="5"/>
      <c r="X226" s="5"/>
      <c r="Y226" s="5"/>
      <c r="Z226" s="5"/>
      <c r="AA226" s="5"/>
      <c r="AB226" s="5"/>
      <c r="AC226" s="5">
        <v>21.5</v>
      </c>
      <c r="AD226" s="33">
        <v>104</v>
      </c>
      <c r="AE226" s="5">
        <f>IF(AD226=0,(W226+4*X226+2*Y226+4*Z226+AA226)*AC226/12+W226*AB226/1.5,AD226)</f>
        <v>104</v>
      </c>
      <c r="AF226" s="11">
        <v>22.1</v>
      </c>
      <c r="AG226" s="11">
        <v>1.4</v>
      </c>
      <c r="AH226" s="5">
        <f>IF(AC226=0,AE226+AF226*AG226/2,AE226+AC226*AG226/2)</f>
        <v>119.05</v>
      </c>
      <c r="AI226" s="5">
        <v>19.9</v>
      </c>
      <c r="AJ226" s="3"/>
      <c r="AK226" s="33">
        <v>64</v>
      </c>
      <c r="AL226" s="5">
        <f>IF(AK226=0,AI226*AJ226/2,AK226)</f>
        <v>64</v>
      </c>
      <c r="AM226" s="3"/>
      <c r="AN226" s="5"/>
      <c r="AO226" s="5">
        <v>0.174</v>
      </c>
      <c r="AP226" s="5">
        <f>AL226+AI226*(AN226-AO226)/2</f>
        <v>62.2687</v>
      </c>
      <c r="AQ226" s="5">
        <f>0.1*(AE226+AL226)</f>
        <v>16.8</v>
      </c>
      <c r="AR226" s="11">
        <v>22.31</v>
      </c>
      <c r="AS226" s="11"/>
      <c r="AT226" s="11"/>
      <c r="AU226" s="11"/>
      <c r="AV226" s="33"/>
      <c r="AW226" s="5">
        <f>IF(AV226=0,AS226/6*(AT226+AU226*4),AV226)</f>
        <v>0</v>
      </c>
      <c r="AX226" s="11"/>
      <c r="AY226" s="5">
        <f>IF(AX226&lt;0.149*M226+0.329,1,AX226/(0.149*M226+0.329))</f>
        <v>1</v>
      </c>
      <c r="AZ226" s="5">
        <f>IF(AW226*AY226&gt;AL226,(AW226*AY226-AL226)/4,0)</f>
        <v>0</v>
      </c>
      <c r="BA226" s="12">
        <f>0.401+0.1831*(2*AR226^2/(AH226+AP226+AZ226))-0.02016*(2*AR226^2/(AH226+AP226+AZ226))^2+0.0007472*(2*AR226^2/(AH226+AP226+AZ226))^3</f>
        <v>0.9222383906031378</v>
      </c>
      <c r="BB226" s="3"/>
      <c r="BC226" s="3"/>
      <c r="BD226" s="3"/>
      <c r="BE226" s="3"/>
      <c r="BF226" s="33"/>
      <c r="BG226" s="5">
        <f>IF(BF226=0,(BC226+BD226)*(BB226/12+BE226/3),BF226)</f>
        <v>0</v>
      </c>
      <c r="BH226" s="5">
        <f>IF(BG226*AY226&gt;AL226+AZ226,BG226*AY226-AL226-AZ226,0)</f>
        <v>0</v>
      </c>
      <c r="BI226" s="42">
        <f>IF(M226/1.6&lt;8,ROUND(M226/1.6,0),8)</f>
        <v>8</v>
      </c>
      <c r="BJ226" s="5">
        <f>(AH226+AP226+AZ226)*BA226+0.1*BH226</f>
        <v>167.2190660742532</v>
      </c>
      <c r="BK226" s="11">
        <v>2</v>
      </c>
      <c r="BL226" s="5">
        <f>M226*0.2</f>
        <v>3.048</v>
      </c>
      <c r="BM226" s="5">
        <f>ROUNDDOWN(M226/2.13,0)</f>
        <v>7</v>
      </c>
      <c r="BN226" s="12">
        <f>M226/4.26</f>
        <v>3.577464788732394</v>
      </c>
      <c r="BO226" s="5">
        <f>IF(M226&lt;8,1.22,IF(M226&lt;15.2,0.108333*M226+0.353,2))</f>
        <v>2</v>
      </c>
      <c r="BP226" s="12">
        <f>IF(BK226&lt;BO226,1+0.3*(BO226-BK226)/M226,1)</f>
        <v>1</v>
      </c>
      <c r="BQ226" s="39">
        <v>8</v>
      </c>
      <c r="BR226" s="39">
        <v>1</v>
      </c>
      <c r="BS226" s="36"/>
      <c r="BT226" t="s" s="24">
        <v>154</v>
      </c>
      <c r="BU226" s="36"/>
      <c r="BV226" s="5">
        <f>IF(BQ226&lt;(M226/0.3048)^0.5,1,IF(BU226="x",1-BR226*0.02,IF(BT226="x",1-BR226*0.01,1)))</f>
        <v>0.99</v>
      </c>
      <c r="BW226" s="12">
        <f>IF(K226="x",MIN(1.315,1.28+U226*N226/BJ226/AR226/1100),IF(L226="x",1.28,MAX(1.245,1.28-U226*N226/BJ226/AR226/1100)))</f>
        <v>1.304849142474275</v>
      </c>
      <c r="BX226" s="41">
        <f>BW226*T226*BV226*BP226*N226^0.3*BJ226^0.4/V226^0.325</f>
        <v>1.317359576020321</v>
      </c>
      <c r="BY226" s="29"/>
      <c r="BZ226" s="29"/>
      <c r="CA226" t="s" s="19">
        <v>213</v>
      </c>
      <c r="CB226" t="s" s="19">
        <v>639</v>
      </c>
      <c r="CC226" t="s" s="19">
        <v>385</v>
      </c>
      <c r="CD226" t="s" s="19">
        <v>289</v>
      </c>
      <c r="CE226" s="3"/>
      <c r="CF226" s="3"/>
      <c r="CG226" t="s" s="30">
        <f>A226</f>
        <v>1436</v>
      </c>
    </row>
    <row r="227" ht="12.75" customHeight="1">
      <c r="A227" t="s" s="25">
        <v>1437</v>
      </c>
      <c r="B227" t="s" s="19">
        <v>1438</v>
      </c>
      <c r="C227" t="s" s="19">
        <v>213</v>
      </c>
      <c r="D227" t="s" s="19">
        <v>1439</v>
      </c>
      <c r="E227" t="s" s="19">
        <v>229</v>
      </c>
      <c r="F227" s="3"/>
      <c r="G227" s="3"/>
      <c r="H227" s="32"/>
      <c r="I227" s="32"/>
      <c r="J227" t="s" s="24">
        <v>154</v>
      </c>
      <c r="K227" s="36"/>
      <c r="L227" s="36"/>
      <c r="M227" s="11">
        <v>7.99</v>
      </c>
      <c r="N227" s="5">
        <v>7.99</v>
      </c>
      <c r="O227" s="11">
        <v>5.3</v>
      </c>
      <c r="P227" s="11">
        <v>0.6899999999999999</v>
      </c>
      <c r="Q227" s="37"/>
      <c r="R227" s="36"/>
      <c r="S227" s="36"/>
      <c r="T227" s="38">
        <f>IF(S227&gt;0,1.048,IF(R227&gt;0,1.048,IF(Q227&gt;0,1.036,0.907+1.55*(P227/N227)-4.449*(P227/N227)^2)))</f>
        <v>1.007675533089704</v>
      </c>
      <c r="U227" s="39">
        <v>1120</v>
      </c>
      <c r="V227" s="40">
        <f>IF(H227="x",75+U227,IF(M227&lt;6.66,150+U227,-1.7384*M227^2+92.38*M227-388+U227))</f>
        <v>1359.13657016</v>
      </c>
      <c r="W227" s="5">
        <v>3.4</v>
      </c>
      <c r="X227" s="5"/>
      <c r="Y227" s="5"/>
      <c r="Z227" s="5"/>
      <c r="AA227" s="5"/>
      <c r="AB227" s="5"/>
      <c r="AC227" s="5">
        <v>12</v>
      </c>
      <c r="AD227" s="33">
        <v>32</v>
      </c>
      <c r="AE227" s="5">
        <f>IF(AD227=0,(W227+4*X227+2*Y227+4*Z227+AA227)*AC227/12+W227*AB227/1.5,AD227)</f>
        <v>32</v>
      </c>
      <c r="AF227" s="11">
        <v>12.5</v>
      </c>
      <c r="AG227" s="11">
        <v>0.48</v>
      </c>
      <c r="AH227" s="5">
        <f>IF(AC227=0,AE227+AF227*AG227/2,AE227+AC227*AG227/2)</f>
        <v>34.88</v>
      </c>
      <c r="AI227" s="5">
        <v>9.9</v>
      </c>
      <c r="AJ227" s="3"/>
      <c r="AK227" s="33">
        <v>13</v>
      </c>
      <c r="AL227" s="5">
        <f>IF(AK227=0,AI227*AJ227/2,AK227)</f>
        <v>13</v>
      </c>
      <c r="AM227" s="3"/>
      <c r="AN227" s="5"/>
      <c r="AO227" s="5"/>
      <c r="AP227" s="5">
        <f>AL227+AI227*(AN227-AO227)/2</f>
        <v>13</v>
      </c>
      <c r="AQ227" s="5">
        <f>0.1*(AE227+AL227)</f>
        <v>4.5</v>
      </c>
      <c r="AR227" s="11">
        <v>12.2</v>
      </c>
      <c r="AS227" s="11"/>
      <c r="AT227" s="11"/>
      <c r="AU227" s="11"/>
      <c r="AV227" s="33"/>
      <c r="AW227" s="5">
        <f>IF(AV227=0,AS227/6*(AT227+AU227*4),AV227)</f>
        <v>0</v>
      </c>
      <c r="AX227" s="11">
        <v>1.5</v>
      </c>
      <c r="AY227" s="5">
        <f>IF(AX227&lt;0.149*M227+0.329,1,AX227/(0.149*M227+0.329))</f>
        <v>1</v>
      </c>
      <c r="AZ227" s="5">
        <f>IF(AW227*AY227&gt;AL227,(AW227*AY227-AL227)/4,0)</f>
        <v>0</v>
      </c>
      <c r="BA227" s="12">
        <f>0.401+0.1831*(2*AR227^2/(AH227+AP227+AZ227))-0.02016*(2*AR227^2/(AH227+AP227+AZ227))^2+0.0007472*(2*AR227^2/(AH227+AP227+AZ227))^3</f>
        <v>0.9396782870059288</v>
      </c>
      <c r="BB227" s="3"/>
      <c r="BC227" s="3"/>
      <c r="BD227" s="3"/>
      <c r="BE227" s="3"/>
      <c r="BF227" s="33">
        <v>50</v>
      </c>
      <c r="BG227" s="5">
        <f>IF(BF227=0,(BC227+BD227)*(BB227/12+BE227/3),BF227)</f>
        <v>50</v>
      </c>
      <c r="BH227" s="5">
        <f>IF(BG227*AY227&gt;AL227+AZ227,BG227*AY227-AL227-AZ227,0)</f>
        <v>37</v>
      </c>
      <c r="BI227" s="5">
        <f>IF(M227/1.6&lt;8,ROUND(M227/1.6,0),8)</f>
        <v>5</v>
      </c>
      <c r="BJ227" s="5">
        <f>(AH227+AP227+AZ227)*BA227+0.1*BH227</f>
        <v>48.69179638184388</v>
      </c>
      <c r="BK227" s="11">
        <v>1.4</v>
      </c>
      <c r="BL227" s="5">
        <f>M227*0.2</f>
        <v>1.598</v>
      </c>
      <c r="BM227" s="5">
        <f>ROUNDDOWN(M227/2.13,0)</f>
        <v>3</v>
      </c>
      <c r="BN227" s="12">
        <f>M227/4.26</f>
        <v>1.875586854460094</v>
      </c>
      <c r="BO227" s="5">
        <f>IF(M227&lt;8,1.22,IF(M227&lt;15.2,0.108333*M227+0.353,2))</f>
        <v>1.22</v>
      </c>
      <c r="BP227" s="12">
        <f>IF(BK227&lt;BO227,1+0.3*(BO227-BK227)/M227,1)</f>
        <v>1</v>
      </c>
      <c r="BQ227" s="32"/>
      <c r="BR227" s="32"/>
      <c r="BS227" t="s" s="24">
        <v>154</v>
      </c>
      <c r="BT227" s="36"/>
      <c r="BU227" s="36"/>
      <c r="BV227" s="5">
        <f>IF(BQ227&lt;(M227/0.3048)^0.5,1,IF(BU227="x",1-BR227*0.02,IF(BT227="x",1-BR227*0.01,1)))</f>
        <v>1</v>
      </c>
      <c r="BW227" s="12">
        <f>IF(K227="x",MIN(1.315,1.28+U227*N227/BJ227/AR227/1100),IF(L227="x",1.28,MAX(1.245,1.28-U227*N227/BJ227/AR227/1100)))</f>
        <v>1.266305174938429</v>
      </c>
      <c r="BX227" s="41">
        <f>BW227*T227*BV227*BP227*N227^0.3*BJ227^0.4/V227^0.325</f>
        <v>1.079679713309756</v>
      </c>
      <c r="BY227" s="29"/>
      <c r="BZ227" s="48"/>
      <c r="CA227" t="s" s="19">
        <v>213</v>
      </c>
      <c r="CB227" t="s" s="19">
        <v>357</v>
      </c>
      <c r="CC227" t="s" s="19">
        <v>848</v>
      </c>
      <c r="CD227" t="s" s="19">
        <v>1440</v>
      </c>
      <c r="CE227" s="3"/>
      <c r="CF227" s="3"/>
      <c r="CG227" t="s" s="30">
        <f>A227</f>
        <v>1441</v>
      </c>
    </row>
    <row r="228" ht="12.75" customHeight="1">
      <c r="A228" t="s" s="25">
        <v>1442</v>
      </c>
      <c r="B228" t="s" s="19">
        <v>480</v>
      </c>
      <c r="C228" t="s" s="19">
        <v>193</v>
      </c>
      <c r="D228" t="s" s="19">
        <v>193</v>
      </c>
      <c r="E228" t="s" s="19">
        <v>1443</v>
      </c>
      <c r="F228" s="3"/>
      <c r="G228" t="s" s="19">
        <v>1444</v>
      </c>
      <c r="H228" s="32"/>
      <c r="I228" s="32"/>
      <c r="J228" s="36"/>
      <c r="K228" t="s" s="24">
        <v>154</v>
      </c>
      <c r="L228" s="36"/>
      <c r="M228" s="11">
        <v>8</v>
      </c>
      <c r="N228" s="5">
        <v>7.95</v>
      </c>
      <c r="O228" s="11"/>
      <c r="P228" s="11"/>
      <c r="Q228" t="s" s="24">
        <v>161</v>
      </c>
      <c r="R228" s="36"/>
      <c r="S228" s="36"/>
      <c r="T228" s="38">
        <f>IF(S228&gt;0,1.048,IF(R228&gt;0,1.048,IF(Q228&gt;0,1.036,0.907+1.55*(P228/N228)-4.449*(P228/N228)^2)))</f>
        <v>1.036</v>
      </c>
      <c r="U228" s="39">
        <v>1050</v>
      </c>
      <c r="V228" s="40">
        <f>IF(H228="x",75+U228,IF(M228&lt;6.66,150+U228,-1.7384*M228^2+92.38*M228-388+U228))</f>
        <v>1289.7824</v>
      </c>
      <c r="W228" s="5">
        <v>2.88</v>
      </c>
      <c r="X228" s="5">
        <v>2.78</v>
      </c>
      <c r="Y228" s="5">
        <v>2.43</v>
      </c>
      <c r="Z228" s="5">
        <v>1.84</v>
      </c>
      <c r="AA228" s="5">
        <v>0.17</v>
      </c>
      <c r="AB228" s="5"/>
      <c r="AC228" s="5">
        <v>10.15</v>
      </c>
      <c r="AD228" s="33"/>
      <c r="AE228" s="5">
        <f>IF(AD228=0,(W228+4*X228+2*Y228+4*Z228+AA228)*AC228/12+W228*AB228/1.5,AD228)</f>
        <v>22.32154166666666</v>
      </c>
      <c r="AF228" s="11">
        <v>10.74</v>
      </c>
      <c r="AG228" s="11">
        <v>0.42</v>
      </c>
      <c r="AH228" s="5">
        <f>IF(AC228=0,AE228+AF228*AG228/2,AE228+AC228*AG228/2)</f>
        <v>24.45304166666666</v>
      </c>
      <c r="AI228" s="5">
        <v>8.74</v>
      </c>
      <c r="AJ228" s="5">
        <v>3.38</v>
      </c>
      <c r="AK228" s="33"/>
      <c r="AL228" s="5">
        <f>IF(AK228=0,AI228*AJ228/2,AK228)</f>
        <v>14.7706</v>
      </c>
      <c r="AM228" s="3"/>
      <c r="AN228" s="5"/>
      <c r="AO228" s="5"/>
      <c r="AP228" s="5">
        <f>AL228+AI228*(AN228-AO228)/2</f>
        <v>14.7706</v>
      </c>
      <c r="AQ228" s="5">
        <f>0.1*(AE228+AL228)</f>
        <v>3.709214166666666</v>
      </c>
      <c r="AR228" s="11">
        <v>10.74</v>
      </c>
      <c r="AS228" s="11"/>
      <c r="AT228" s="11"/>
      <c r="AU228" s="11"/>
      <c r="AV228" s="33"/>
      <c r="AW228" s="5">
        <f>IF(AV228=0,AS228/6*(AT228+AU228*4),AV228)</f>
        <v>0</v>
      </c>
      <c r="AX228" s="11"/>
      <c r="AY228" s="5">
        <f>IF(AX228&lt;0.149*M228+0.329,1,AX228/(0.149*M228+0.329))</f>
        <v>1</v>
      </c>
      <c r="AZ228" s="5">
        <f>IF(AW228*AY228&gt;AL228,(AW228*AY228-AL228)/4,0)</f>
        <v>0</v>
      </c>
      <c r="BA228" s="12">
        <f>0.401+0.1831*(2*AR228^2/(AH228+AP228+AZ228))-0.02016*(2*AR228^2/(AH228+AP228+AZ228))^2+0.0007472*(2*AR228^2/(AH228+AP228+AZ228))^3</f>
        <v>0.932548041656917</v>
      </c>
      <c r="BB228" s="5">
        <v>6.74</v>
      </c>
      <c r="BC228" s="5">
        <v>11.44</v>
      </c>
      <c r="BD228" s="5">
        <v>10.22</v>
      </c>
      <c r="BE228" s="5">
        <v>5.19</v>
      </c>
      <c r="BF228" s="33"/>
      <c r="BG228" s="5">
        <f>IF(BF228=0,(BC228+BD228)*(BB228/12+BE228/3),BF228)</f>
        <v>49.63750000000001</v>
      </c>
      <c r="BH228" s="5">
        <f>IF(BG228*AY228&gt;AL228+AZ228,BG228*AY228-AL228-AZ228,0)</f>
        <v>34.86690000000001</v>
      </c>
      <c r="BI228" s="5">
        <f>IF(M228/1.6&lt;8,ROUND(M228/1.6,0),8)</f>
        <v>5</v>
      </c>
      <c r="BJ228" s="5">
        <f>(AH228+AP228+AZ228)*BA228+0.1*BH228</f>
        <v>40.06462022290265</v>
      </c>
      <c r="BK228" s="11">
        <v>1.4</v>
      </c>
      <c r="BL228" s="5">
        <f>M228*0.2</f>
        <v>1.6</v>
      </c>
      <c r="BM228" s="5">
        <f>ROUNDDOWN(M228/2.13,0)</f>
        <v>3</v>
      </c>
      <c r="BN228" s="12">
        <f>M228/4.26</f>
        <v>1.877934272300469</v>
      </c>
      <c r="BO228" s="5">
        <f>IF(M228&lt;8,1.22,IF(M228&lt;15.2,0.108333*M228+0.353,2))</f>
        <v>1.219664</v>
      </c>
      <c r="BP228" s="12">
        <f>IF(BK228&lt;BO228,1+0.3*(BO228-BK228)/M228,1)</f>
        <v>1</v>
      </c>
      <c r="BQ228" s="32"/>
      <c r="BR228" s="32"/>
      <c r="BS228" t="s" s="24">
        <v>154</v>
      </c>
      <c r="BT228" s="36"/>
      <c r="BU228" s="36"/>
      <c r="BV228" s="5">
        <f>IF(BQ228&lt;(M228/0.3048)^0.5,1,IF(BU228="x",1-BR228*0.02,IF(BT228="x",1-BR228*0.01,1)))</f>
        <v>1</v>
      </c>
      <c r="BW228" s="12">
        <f>IF(K228="x",MIN(1.315,1.28+U228*N228/BJ228/AR228/1100),IF(L228="x",1.28,MAX(1.245,1.28-U228*N228/BJ228/AR228/1100)))</f>
        <v>1.29763593261784</v>
      </c>
      <c r="BX228" s="41">
        <f>BW228*T228*BV228*BP228*N228^0.3*BJ228^0.4/V228^0.325</f>
        <v>1.068585616359254</v>
      </c>
      <c r="BY228" s="29"/>
      <c r="BZ228" s="29"/>
      <c r="CA228" t="s" s="19">
        <v>162</v>
      </c>
      <c r="CB228" s="42">
        <v>1997</v>
      </c>
      <c r="CC228" t="s" s="19">
        <v>254</v>
      </c>
      <c r="CD228" t="s" s="19">
        <v>415</v>
      </c>
      <c r="CE228" s="3"/>
      <c r="CF228" s="3"/>
      <c r="CG228" t="s" s="30">
        <f>A228</f>
        <v>1445</v>
      </c>
    </row>
    <row r="229" ht="12.75" customHeight="1">
      <c r="A229" t="s" s="25">
        <v>1446</v>
      </c>
      <c r="B229" t="s" s="19">
        <v>574</v>
      </c>
      <c r="C229" t="s" s="19">
        <v>213</v>
      </c>
      <c r="D229" t="s" s="19">
        <v>1447</v>
      </c>
      <c r="E229" t="s" s="19">
        <v>1448</v>
      </c>
      <c r="F229" t="s" s="19">
        <v>1449</v>
      </c>
      <c r="G229" t="s" s="19">
        <v>1450</v>
      </c>
      <c r="H229" s="32"/>
      <c r="I229" s="32"/>
      <c r="J229" t="s" s="24">
        <v>154</v>
      </c>
      <c r="K229" s="36"/>
      <c r="L229" s="36"/>
      <c r="M229" s="11">
        <v>11.45</v>
      </c>
      <c r="N229" s="5">
        <v>10.35</v>
      </c>
      <c r="O229" s="11">
        <v>7.3</v>
      </c>
      <c r="P229" s="11"/>
      <c r="Q229" s="37"/>
      <c r="R229" t="s" s="24">
        <v>1451</v>
      </c>
      <c r="S229" s="36"/>
      <c r="T229" s="38">
        <f>IF(S229&gt;0,1.048,IF(R229&gt;0,1.048,IF(Q229&gt;0,1.036,0.907+1.55*(P229/N229)-4.449*(P229/N229)^2)))</f>
        <v>1.048</v>
      </c>
      <c r="U229" s="39">
        <v>1900</v>
      </c>
      <c r="V229" s="40">
        <f>IF(H229="x",75+U229,IF(M229&lt;6.66,150+U229,-1.7384*M229^2+92.38*M229-388+U229))</f>
        <v>2341.842414</v>
      </c>
      <c r="W229" s="5"/>
      <c r="X229" s="5"/>
      <c r="Y229" s="5"/>
      <c r="Z229" s="5"/>
      <c r="AA229" s="5"/>
      <c r="AB229" s="5"/>
      <c r="AC229" s="5">
        <v>16.2</v>
      </c>
      <c r="AD229" s="33">
        <v>59</v>
      </c>
      <c r="AE229" s="5">
        <f>IF(AD229=0,(W229+4*X229+2*Y229+4*Z229+AA229)*AC229/12+W229*AB229/1.5,AD229)</f>
        <v>59</v>
      </c>
      <c r="AF229" s="11">
        <v>16.8</v>
      </c>
      <c r="AG229" s="11">
        <f>0.48*2.34</f>
        <v>1.1232</v>
      </c>
      <c r="AH229" s="5">
        <f>IF(AC229=0,AE229+AF229*AG229/2,AE229+AC229*AG229/2)</f>
        <v>68.09792</v>
      </c>
      <c r="AI229" s="5">
        <v>13.8</v>
      </c>
      <c r="AJ229" s="3"/>
      <c r="AK229" s="33">
        <v>25</v>
      </c>
      <c r="AL229" s="5">
        <f>IF(AK229=0,AI229*AJ229/2,AK229)</f>
        <v>25</v>
      </c>
      <c r="AM229" t="s" s="19">
        <v>154</v>
      </c>
      <c r="AN229" s="5"/>
      <c r="AO229" s="5"/>
      <c r="AP229" s="5">
        <f>AL229+AI229*(AN229-AO229)/2</f>
        <v>25</v>
      </c>
      <c r="AQ229" s="5">
        <f>0.1*(AE229+AL229)</f>
        <v>8.4</v>
      </c>
      <c r="AR229" s="11">
        <v>16.8</v>
      </c>
      <c r="AS229" s="11"/>
      <c r="AT229" s="11"/>
      <c r="AU229" s="11"/>
      <c r="AV229" s="33"/>
      <c r="AW229" s="5">
        <f>IF(AV229=0,AS229/6*(AT229+AU229*4),AV229)</f>
        <v>0</v>
      </c>
      <c r="AX229" s="11">
        <v>0.5600000000000001</v>
      </c>
      <c r="AY229" s="5">
        <f>IF(AX229&lt;0.149*M229+0.329,1,AX229/(0.149*M229+0.329))</f>
        <v>1</v>
      </c>
      <c r="AZ229" s="5">
        <f>IF(AW229*AY229&gt;AL229,(AW229*AY229-AL229)/4,0)</f>
        <v>0</v>
      </c>
      <c r="BA229" s="12">
        <f>0.401+0.1831*(2*AR229^2/(AH229+AP229+AZ229))-0.02016*(2*AR229^2/(AH229+AP229+AZ229))^2+0.0007472*(2*AR229^2/(AH229+AP229+AZ229))^3</f>
        <v>0.9365932140385279</v>
      </c>
      <c r="BB229" s="3"/>
      <c r="BC229" s="3"/>
      <c r="BD229" s="3"/>
      <c r="BE229" s="3"/>
      <c r="BF229" s="33">
        <v>85</v>
      </c>
      <c r="BG229" s="5">
        <f>IF(BF229=0,(BC229+BD229)*(BB229/12+BE229/3),BF229)</f>
        <v>85</v>
      </c>
      <c r="BH229" s="5">
        <f>IF(BG229*AY229&gt;AL229+AZ229,BG229*AY229-AL229-AZ229,0)</f>
        <v>60</v>
      </c>
      <c r="BI229" s="5">
        <f>IF(M229/1.6&lt;8,ROUND(M229/1.6,0),8)</f>
        <v>7</v>
      </c>
      <c r="BJ229" s="5">
        <f>(AH229+AP229+AZ229)*BA229+0.1*BH229</f>
        <v>93.19488011310175</v>
      </c>
      <c r="BK229" s="11">
        <v>1.38</v>
      </c>
      <c r="BL229" s="5">
        <f>M229*0.2</f>
        <v>2.29</v>
      </c>
      <c r="BM229" s="5">
        <f>ROUNDDOWN(M229/2.13,0)</f>
        <v>5</v>
      </c>
      <c r="BN229" s="12">
        <f>M229/4.26</f>
        <v>2.687793427230047</v>
      </c>
      <c r="BO229" s="5">
        <f>IF(M229&lt;8,1.22,IF(M229&lt;15.2,0.108333*M229+0.353,2))</f>
        <v>1.59341285</v>
      </c>
      <c r="BP229" s="12">
        <f>IF(BK229&lt;BO229,1+0.3*(BO229-BK229)/M229,1)</f>
        <v>1.005591603056769</v>
      </c>
      <c r="BQ229" s="32"/>
      <c r="BR229" s="32"/>
      <c r="BS229" t="s" s="24">
        <v>154</v>
      </c>
      <c r="BT229" s="36"/>
      <c r="BU229" s="36"/>
      <c r="BV229" s="5">
        <f>IF(BQ229&lt;(M229/0.3048)^0.5,1,IF(BU229="x",1-BR229*0.02,IF(BT229="x",1-BR229*0.01,1)))</f>
        <v>1</v>
      </c>
      <c r="BW229" s="12">
        <f>IF(K229="x",MIN(1.315,1.28+U229*N229/BJ229/AR229/1100),IF(L229="x",1.28,MAX(1.245,1.28-U229*N229/BJ229/AR229/1100)))</f>
        <v>1.268581739948247</v>
      </c>
      <c r="BX229" s="41">
        <f>BW229*T229*BV229*BP229*N229^0.3*BJ229^0.4/V229^0.325</f>
        <v>1.328110044678759</v>
      </c>
      <c r="BY229" s="29"/>
      <c r="BZ229" s="48"/>
      <c r="CA229" t="s" s="19">
        <v>213</v>
      </c>
      <c r="CB229" t="s" s="19">
        <v>1386</v>
      </c>
      <c r="CC229" t="s" s="19">
        <v>180</v>
      </c>
      <c r="CD229" s="3"/>
      <c r="CE229" s="3"/>
      <c r="CF229" s="3"/>
      <c r="CG229" t="s" s="30">
        <f>A229</f>
        <v>1452</v>
      </c>
    </row>
    <row r="230" ht="12.75" customHeight="1">
      <c r="A230" t="s" s="25">
        <v>1453</v>
      </c>
      <c r="B230" t="s" s="19">
        <v>178</v>
      </c>
      <c r="C230" t="s" s="19">
        <v>344</v>
      </c>
      <c r="D230" t="s" s="19">
        <v>345</v>
      </c>
      <c r="E230" t="s" s="19">
        <v>1454</v>
      </c>
      <c r="F230" s="3"/>
      <c r="G230" s="42">
        <v>96</v>
      </c>
      <c r="H230" s="32"/>
      <c r="I230" s="32"/>
      <c r="J230" s="36"/>
      <c r="K230" t="s" s="24">
        <v>154</v>
      </c>
      <c r="L230" s="36"/>
      <c r="M230" s="11">
        <v>7.34</v>
      </c>
      <c r="N230" s="5">
        <v>7.34</v>
      </c>
      <c r="O230" s="11">
        <v>5.5</v>
      </c>
      <c r="P230" s="11"/>
      <c r="Q230" s="37"/>
      <c r="R230" t="s" s="24">
        <v>534</v>
      </c>
      <c r="S230" s="36"/>
      <c r="T230" s="38">
        <f>IF(S230&gt;0,1.048,IF(R230&gt;0,1.048,IF(Q230&gt;0,1.036,0.907+1.55*(P230/N230)-4.449*(P230/N230)^2)))</f>
        <v>1.048</v>
      </c>
      <c r="U230" s="39">
        <v>1177</v>
      </c>
      <c r="V230" s="40">
        <f>IF(H230="x",75+U230,IF(M230&lt;6.66,150+U230,-1.7384*M230^2+92.38*M230-388+U230))</f>
        <v>1373.41185696</v>
      </c>
      <c r="W230" s="5">
        <v>3.12</v>
      </c>
      <c r="X230" s="5">
        <v>3.03</v>
      </c>
      <c r="Y230" s="5">
        <v>2.69</v>
      </c>
      <c r="Z230" s="5">
        <v>1.86</v>
      </c>
      <c r="AA230" s="5">
        <v>0.14</v>
      </c>
      <c r="AB230" s="5">
        <v>0.01</v>
      </c>
      <c r="AC230" s="5">
        <v>9.369999999999999</v>
      </c>
      <c r="AD230" s="33"/>
      <c r="AE230" s="5">
        <f>IF(AD230=0,(W230+4*X230+2*Y230+4*Z230+AA230)*AC230/12+W230*AB230/1.5,AD230)</f>
        <v>22.0403</v>
      </c>
      <c r="AF230" s="11">
        <v>10.1</v>
      </c>
      <c r="AG230" s="11">
        <v>0.39</v>
      </c>
      <c r="AH230" s="5">
        <f>IF(AC230=0,AE230+AF230*AG230/2,AE230+AC230*AG230/2)</f>
        <v>23.86745</v>
      </c>
      <c r="AI230" s="5">
        <v>9.369999999999999</v>
      </c>
      <c r="AJ230" s="5">
        <v>3.01</v>
      </c>
      <c r="AK230" s="33"/>
      <c r="AL230" s="5">
        <f>IF(AK230=0,AI230*AJ230/2,AK230)</f>
        <v>14.10185</v>
      </c>
      <c r="AM230" s="3"/>
      <c r="AN230" s="5"/>
      <c r="AO230" s="5"/>
      <c r="AP230" s="5">
        <f>AL230+AI230*(AN230-AO230)/2</f>
        <v>14.10185</v>
      </c>
      <c r="AQ230" s="5">
        <f>0.1*(AE230+AL230)</f>
        <v>3.614215</v>
      </c>
      <c r="AR230" s="11">
        <v>10.1</v>
      </c>
      <c r="AS230" s="11"/>
      <c r="AT230" s="11"/>
      <c r="AU230" s="11"/>
      <c r="AV230" s="33"/>
      <c r="AW230" s="5">
        <f>IF(AV230=0,AS230/6*(AT230+AU230*4),AV230)</f>
        <v>0</v>
      </c>
      <c r="AX230" s="11"/>
      <c r="AY230" s="5">
        <f>IF(AX230&lt;0.149*M230+0.329,1,AX230/(0.149*M230+0.329))</f>
        <v>1</v>
      </c>
      <c r="AZ230" s="5">
        <f>IF(AW230*AY230&gt;AL230,(AW230*AY230-AL230)/4,0)</f>
        <v>0</v>
      </c>
      <c r="BA230" s="12">
        <f>0.401+0.1831*(2*AR230^2/(AH230+AP230+AZ230))-0.02016*(2*AR230^2/(AH230+AP230+AZ230))^2+0.0007472*(2*AR230^2/(AH230+AP230+AZ230))^3</f>
        <v>0.9187047036564523</v>
      </c>
      <c r="BB230" s="3"/>
      <c r="BC230" s="3"/>
      <c r="BD230" s="3"/>
      <c r="BE230" s="3"/>
      <c r="BF230" s="33"/>
      <c r="BG230" s="5">
        <f>IF(BF230=0,(BC230+BD230)*(BB230/12+BE230/3),BF230)</f>
        <v>0</v>
      </c>
      <c r="BH230" s="5">
        <f>IF(BG230*AY230&gt;AL230+AZ230,BG230*AY230-AL230-AZ230,0)</f>
        <v>0</v>
      </c>
      <c r="BI230" s="5">
        <f>IF(M230/1.6&lt;8,ROUND(M230/1.6,0),8)</f>
        <v>5</v>
      </c>
      <c r="BJ230" s="5">
        <f>(AH230+AP230+AZ230)*BA230+0.1*BH230</f>
        <v>34.88257450454293</v>
      </c>
      <c r="BK230" s="11">
        <v>1.4</v>
      </c>
      <c r="BL230" s="5">
        <f>M230*0.2</f>
        <v>1.468</v>
      </c>
      <c r="BM230" s="5">
        <f>ROUNDDOWN(M230/2.13,0)</f>
        <v>3</v>
      </c>
      <c r="BN230" s="12">
        <f>M230/4.26</f>
        <v>1.723004694835681</v>
      </c>
      <c r="BO230" s="5">
        <f>IF(M230&lt;8,1.22,IF(M230&lt;15.2,0.108333*M230+0.353,2))</f>
        <v>1.22</v>
      </c>
      <c r="BP230" s="12">
        <f>IF(BK230&lt;BO230,1+0.3*(BO230-BK230)/M230,1)</f>
        <v>1</v>
      </c>
      <c r="BQ230" s="32"/>
      <c r="BR230" s="39">
        <v>0</v>
      </c>
      <c r="BS230" t="s" s="24">
        <v>154</v>
      </c>
      <c r="BT230" s="36"/>
      <c r="BU230" s="36"/>
      <c r="BV230" s="5">
        <f>IF(BQ230&lt;(M230/0.3048)^0.5,1,IF(BU230="x",1-BR230*0.02,IF(BT230="x",1-BR230*0.01,1)))</f>
        <v>1</v>
      </c>
      <c r="BW230" s="12">
        <f>IF(K230="x",MIN(1.315,1.28+U230*N230/BJ230/AR230/1100),IF(L230="x",1.28,MAX(1.245,1.28-U230*N230/BJ230/AR230/1100)))</f>
        <v>1.302292046141685</v>
      </c>
      <c r="BX230" s="41">
        <f>BW230*T230*BV230*BP230*N230^0.3*BJ230^0.4/V230^0.325</f>
        <v>0.9818307809578475</v>
      </c>
      <c r="BY230" s="29"/>
      <c r="BZ230" s="29"/>
      <c r="CA230" t="s" s="19">
        <v>162</v>
      </c>
      <c r="CB230" s="42">
        <v>1997</v>
      </c>
      <c r="CC230" t="s" s="19">
        <v>254</v>
      </c>
      <c r="CD230" t="s" s="19">
        <v>415</v>
      </c>
      <c r="CE230" s="3"/>
      <c r="CF230" s="3"/>
      <c r="CG230" t="s" s="30">
        <f>A230</f>
        <v>1455</v>
      </c>
    </row>
    <row r="231" ht="12.75" customHeight="1">
      <c r="A231" t="s" s="25">
        <v>1456</v>
      </c>
      <c r="B231" t="s" s="19">
        <v>1457</v>
      </c>
      <c r="C231" t="s" s="19">
        <v>218</v>
      </c>
      <c r="D231" t="s" s="19">
        <v>219</v>
      </c>
      <c r="E231" t="s" s="19">
        <v>1458</v>
      </c>
      <c r="F231" t="s" s="19">
        <v>1459</v>
      </c>
      <c r="G231" t="s" s="19">
        <v>1460</v>
      </c>
      <c r="H231" s="32"/>
      <c r="I231" s="32"/>
      <c r="J231" t="s" s="24">
        <v>1461</v>
      </c>
      <c r="K231" s="36"/>
      <c r="L231" s="36"/>
      <c r="M231" s="11">
        <v>16.15</v>
      </c>
      <c r="N231" s="5">
        <v>15.65</v>
      </c>
      <c r="O231" s="11">
        <v>7.6</v>
      </c>
      <c r="P231" s="11"/>
      <c r="Q231" t="s" s="24">
        <v>1462</v>
      </c>
      <c r="R231" s="36"/>
      <c r="S231" s="36"/>
      <c r="T231" s="38">
        <f>IF(S231&gt;0,1.048,IF(R231&gt;0,1.048,IF(Q231&gt;0,1.036,0.907+1.55*(P231/N231)-4.449*(P231/N231)^2)))</f>
        <v>1.036</v>
      </c>
      <c r="U231" s="39">
        <v>13000</v>
      </c>
      <c r="V231" s="40">
        <f>IF(H231="x",75+U231,IF(M231&lt;6.66,150+U231,-1.7384*M231^2+92.38*M231-388+U231))</f>
        <v>13650.523166</v>
      </c>
      <c r="W231" s="5"/>
      <c r="X231" s="5"/>
      <c r="Y231" s="5"/>
      <c r="Z231" s="5"/>
      <c r="AA231" s="5"/>
      <c r="AB231" s="5"/>
      <c r="AC231" s="5">
        <v>18.82</v>
      </c>
      <c r="AD231" s="33">
        <v>66</v>
      </c>
      <c r="AE231" s="5">
        <f>IF(AD231=0,(W231+4*X231+2*Y231+4*Z231+AA231)*AC231/12+W231*AB231/1.5,AD231)</f>
        <v>66</v>
      </c>
      <c r="AF231" s="11">
        <v>20.9</v>
      </c>
      <c r="AG231" s="11"/>
      <c r="AH231" s="5">
        <f>IF(AC231=0,AE231+AF231*AG231/2,AE231+AC231*AG231/2)</f>
        <v>66</v>
      </c>
      <c r="AI231" s="3"/>
      <c r="AJ231" s="3"/>
      <c r="AK231" s="33">
        <v>62</v>
      </c>
      <c r="AL231" s="5">
        <f>IF(AK231=0,AI231*AJ231/2,AK231)</f>
        <v>62</v>
      </c>
      <c r="AM231" s="3"/>
      <c r="AN231" s="5"/>
      <c r="AO231" s="5">
        <v>0.15</v>
      </c>
      <c r="AP231" s="5">
        <f>AL231+AI231*(AN231-AO231)/2</f>
        <v>62</v>
      </c>
      <c r="AQ231" s="5">
        <f>0.1*(AE231+AL231)</f>
        <v>12.8</v>
      </c>
      <c r="AR231" s="11">
        <v>20.9</v>
      </c>
      <c r="AS231" s="11"/>
      <c r="AT231" s="11"/>
      <c r="AU231" s="11"/>
      <c r="AV231" s="33"/>
      <c r="AW231" s="5">
        <f>IF(AV231=0,AS231/6*(AT231+AU231*4),AV231)</f>
        <v>0</v>
      </c>
      <c r="AX231" s="11"/>
      <c r="AY231" s="5">
        <f>IF(AX231&lt;0.149*M231+0.329,1,AX231/(0.149*M231+0.329))</f>
        <v>1</v>
      </c>
      <c r="AZ231" s="5">
        <f>IF(AW231*AY231&gt;AL231,(AW231*AY231-AL231)/4,0)</f>
        <v>0</v>
      </c>
      <c r="BA231" s="12">
        <f>0.401+0.1831*(2*AR231^2/(AH231+AP231+AZ231))-0.02016*(2*AR231^2/(AH231+AP231+AZ231))^2+0.0007472*(2*AR231^2/(AH231+AP231+AZ231))^3</f>
        <v>0.9491384450952305</v>
      </c>
      <c r="BB231" s="3"/>
      <c r="BC231" s="3"/>
      <c r="BD231" s="3"/>
      <c r="BE231" s="3"/>
      <c r="BF231" s="33">
        <v>180</v>
      </c>
      <c r="BG231" s="5">
        <f>IF(BF231=0,(BC231+BD231)*(BB231/12+BE231/3),BF231)</f>
        <v>180</v>
      </c>
      <c r="BH231" s="5">
        <f>IF(BG231*AY231&gt;AL231+AZ231,BG231*AY231-AL231-AZ231,0)</f>
        <v>118</v>
      </c>
      <c r="BI231" s="42">
        <f>IF(M231/1.6&lt;8,ROUND(M231/1.6,0),8)</f>
        <v>8</v>
      </c>
      <c r="BJ231" s="5">
        <f>(AH231+AP231+AZ231)*BA231+0.1*BH231</f>
        <v>133.2897209721895</v>
      </c>
      <c r="BK231" s="11">
        <v>2</v>
      </c>
      <c r="BL231" s="5">
        <f>M231*0.2</f>
        <v>3.23</v>
      </c>
      <c r="BM231" s="5">
        <f>ROUNDDOWN(M231/2.13,0)</f>
        <v>7</v>
      </c>
      <c r="BN231" s="12">
        <f>M231/4.26</f>
        <v>3.791079812206573</v>
      </c>
      <c r="BO231" s="5">
        <f>IF(M231&lt;8,1.22,IF(M231&lt;15.2,0.108333*M231+0.353,2))</f>
        <v>2</v>
      </c>
      <c r="BP231" s="12">
        <f>IF(BK231&lt;BO231,1+0.3*(BO231-BK231)/M231,1)</f>
        <v>1</v>
      </c>
      <c r="BQ231" s="39">
        <v>12</v>
      </c>
      <c r="BR231" s="39">
        <v>2</v>
      </c>
      <c r="BS231" s="36"/>
      <c r="BT231" s="36"/>
      <c r="BU231" t="s" s="24">
        <v>154</v>
      </c>
      <c r="BV231" s="5">
        <f>IF(BQ231&lt;(M231/0.3048)^0.5,1,IF(BU231="x",1-BR231*0.02,IF(BT231="x",1-BR231*0.01,1)))</f>
        <v>0.96</v>
      </c>
      <c r="BW231" s="12">
        <f>IF(K231="x",MIN(1.315,1.28+U231*N231/BJ231/AR231/1100),IF(L231="x",1.28,MAX(1.245,1.28-U231*N231/BJ231/AR231/1100)))</f>
        <v>1.245</v>
      </c>
      <c r="BX231" s="41">
        <f>BW231*T231*BV231*BP231*N231^0.3*BJ231^0.4/V231^0.325</f>
        <v>0.9060450346326925</v>
      </c>
      <c r="BY231" s="29"/>
      <c r="BZ231" s="29"/>
      <c r="CA231" s="3"/>
      <c r="CB231" s="3"/>
      <c r="CC231" s="3"/>
      <c r="CD231" s="3"/>
      <c r="CE231" s="3"/>
      <c r="CF231" s="3"/>
      <c r="CG231" t="s" s="30">
        <f>A231</f>
        <v>1463</v>
      </c>
    </row>
    <row r="232" ht="12.75" customHeight="1">
      <c r="A232" t="s" s="25">
        <v>1464</v>
      </c>
      <c r="B232" t="s" s="19">
        <v>1465</v>
      </c>
      <c r="C232" t="s" s="19">
        <v>1466</v>
      </c>
      <c r="D232" t="s" s="19">
        <v>1467</v>
      </c>
      <c r="E232" t="s" s="19">
        <v>1466</v>
      </c>
      <c r="F232" s="3"/>
      <c r="G232" s="3"/>
      <c r="H232" s="32"/>
      <c r="I232" s="32"/>
      <c r="J232" t="s" s="24">
        <v>154</v>
      </c>
      <c r="K232" s="36"/>
      <c r="L232" s="36"/>
      <c r="M232" s="11">
        <v>7.98</v>
      </c>
      <c r="N232" s="5">
        <v>7.84</v>
      </c>
      <c r="O232" s="11"/>
      <c r="P232" s="11">
        <v>0.65</v>
      </c>
      <c r="Q232" s="37"/>
      <c r="R232" s="36"/>
      <c r="S232" s="36"/>
      <c r="T232" s="38">
        <f>IF(S232&gt;0,1.048,IF(R232&gt;0,1.048,IF(Q232&gt;0,1.036,0.907+1.55*(P232/N232)-4.449*(P232/N232)^2)))</f>
        <v>1.004926279089442</v>
      </c>
      <c r="U232" s="39">
        <v>820</v>
      </c>
      <c r="V232" s="40">
        <f>IF(H232="x",75+U232,IF(M232&lt;6.66,150+U232,-1.7384*M232^2+92.38*M232-388+U232))</f>
        <v>1058.49039264</v>
      </c>
      <c r="W232" s="5"/>
      <c r="X232" s="5"/>
      <c r="Y232" s="5"/>
      <c r="Z232" s="5"/>
      <c r="AA232" s="5"/>
      <c r="AB232" s="5"/>
      <c r="AC232" s="5">
        <v>9.800000000000001</v>
      </c>
      <c r="AD232" s="33">
        <v>29</v>
      </c>
      <c r="AE232" s="5">
        <f>IF(AD232=0,(W232+4*X232+2*Y232+4*Z232+AA232)*AC232/12+W232*AB232/1.5,AD232)</f>
        <v>29</v>
      </c>
      <c r="AF232" s="11">
        <v>11</v>
      </c>
      <c r="AG232" s="11"/>
      <c r="AH232" s="5">
        <f>IF(AC232=0,AE232+AF232*AG232/2,AE232+AC232*AG232/2)</f>
        <v>29</v>
      </c>
      <c r="AI232" s="3"/>
      <c r="AJ232" s="3"/>
      <c r="AK232" s="33">
        <v>17</v>
      </c>
      <c r="AL232" s="5">
        <f>IF(AK232=0,AI232*AJ232/2,AK232)</f>
        <v>17</v>
      </c>
      <c r="AM232" s="3"/>
      <c r="AN232" s="5"/>
      <c r="AO232" s="5"/>
      <c r="AP232" s="5">
        <f>AL232+AI232*(AN232-AO232)/2</f>
        <v>17</v>
      </c>
      <c r="AQ232" s="5">
        <f>0.1*(AE232+AL232)</f>
        <v>4.600000000000001</v>
      </c>
      <c r="AR232" s="11">
        <v>11</v>
      </c>
      <c r="AS232" s="11"/>
      <c r="AT232" s="11"/>
      <c r="AU232" s="11"/>
      <c r="AV232" s="33"/>
      <c r="AW232" s="5">
        <f>IF(AV232=0,AS232/6*(AT232+AU232*4),AV232)</f>
        <v>0</v>
      </c>
      <c r="AX232" s="11">
        <v>0.65</v>
      </c>
      <c r="AY232" s="5">
        <f>IF(AX232&lt;0.149*M232+0.329,1,AX232/(0.149*M232+0.329))</f>
        <v>1</v>
      </c>
      <c r="AZ232" s="5">
        <f>IF(AW232*AY232&gt;AL232,(AW232*AY232-AL232)/4,0)</f>
        <v>0</v>
      </c>
      <c r="BA232" s="12">
        <f>0.401+0.1831*(2*AR232^2/(AH232+AP232+AZ232))-0.02016*(2*AR232^2/(AH232+AP232+AZ232))^2+0.0007472*(2*AR232^2/(AH232+AP232+AZ232))^3</f>
        <v>0.9150970986438729</v>
      </c>
      <c r="BB232" s="3"/>
      <c r="BC232" s="3"/>
      <c r="BD232" s="3"/>
      <c r="BE232" s="3"/>
      <c r="BF232" s="33">
        <v>50</v>
      </c>
      <c r="BG232" s="5">
        <f>IF(BF232=0,(BC232+BD232)*(BB232/12+BE232/3),BF232)</f>
        <v>50</v>
      </c>
      <c r="BH232" s="5">
        <f>IF(BG232*AY232&gt;AL232+AZ232,BG232*AY232-AL232-AZ232,0)</f>
        <v>33</v>
      </c>
      <c r="BI232" s="5">
        <f>IF(M232/1.6&lt;8,ROUND(M232/1.6,0),8)</f>
        <v>5</v>
      </c>
      <c r="BJ232" s="5">
        <f>(AH232+AP232+AZ232)*BA232+0.1*BH232</f>
        <v>45.39446653761815</v>
      </c>
      <c r="BK232" s="11">
        <v>1.4</v>
      </c>
      <c r="BL232" s="5">
        <f>M232*0.2</f>
        <v>1.596</v>
      </c>
      <c r="BM232" s="5">
        <f>ROUNDDOWN(M232/2.13,0)</f>
        <v>3</v>
      </c>
      <c r="BN232" s="12">
        <f>M232/4.26</f>
        <v>1.873239436619718</v>
      </c>
      <c r="BO232" s="5">
        <f>IF(M232&lt;8,1.22,IF(M232&lt;15.2,0.108333*M232+0.353,2))</f>
        <v>1.22</v>
      </c>
      <c r="BP232" s="12">
        <f>IF(BK232&lt;BO232,1+0.3*(BO232-BK232)/M232,1)</f>
        <v>1</v>
      </c>
      <c r="BQ232" s="32"/>
      <c r="BR232" s="39">
        <v>0</v>
      </c>
      <c r="BS232" t="s" s="24">
        <v>154</v>
      </c>
      <c r="BT232" s="36"/>
      <c r="BU232" s="36"/>
      <c r="BV232" s="5">
        <f>IF(BQ232&lt;(M232/0.3048)^0.5,1,IF(BU232="x",1-BR232*0.02,IF(BT232="x",1-BR232*0.01,1)))</f>
        <v>1</v>
      </c>
      <c r="BW232" s="12">
        <f>IF(K232="x",MIN(1.315,1.28+U232*N232/BJ232/AR232/1100),IF(L232="x",1.28,MAX(1.245,1.28-U232*N232/BJ232/AR232/1100)))</f>
        <v>1.268295802866553</v>
      </c>
      <c r="BX232" s="41">
        <f>BW232*T232*BV232*BP232*N232^0.3*BJ232^0.4/V232^0.325</f>
        <v>1.130908569313551</v>
      </c>
      <c r="BY232" s="29"/>
      <c r="BZ232" s="29"/>
      <c r="CA232" t="s" s="19">
        <v>162</v>
      </c>
      <c r="CB232" t="s" s="19">
        <v>917</v>
      </c>
      <c r="CC232" t="s" s="19">
        <v>164</v>
      </c>
      <c r="CD232" s="3"/>
      <c r="CE232" s="3"/>
      <c r="CF232" s="3"/>
      <c r="CG232" t="s" s="30">
        <f>A232</f>
        <v>1468</v>
      </c>
    </row>
    <row r="233" ht="12.75" customHeight="1">
      <c r="A233" t="s" s="25">
        <v>1469</v>
      </c>
      <c r="B233" t="s" s="19">
        <v>574</v>
      </c>
      <c r="C233" t="s" s="19">
        <v>1470</v>
      </c>
      <c r="D233" t="s" s="19">
        <v>1470</v>
      </c>
      <c r="E233" t="s" s="19">
        <v>1471</v>
      </c>
      <c r="F233" s="3"/>
      <c r="G233" s="3"/>
      <c r="H233" s="32"/>
      <c r="I233" s="32"/>
      <c r="J233" t="s" s="24">
        <v>154</v>
      </c>
      <c r="K233" s="36"/>
      <c r="L233" s="36"/>
      <c r="M233" s="11">
        <v>13.15</v>
      </c>
      <c r="N233" s="5">
        <v>14.15</v>
      </c>
      <c r="O233" s="11">
        <v>7.25</v>
      </c>
      <c r="P233" s="11"/>
      <c r="Q233" s="37"/>
      <c r="R233" t="s" s="24">
        <v>1472</v>
      </c>
      <c r="S233" s="36"/>
      <c r="T233" s="38">
        <f>IF(S233&gt;0,1.048,IF(R233&gt;0,1.048,IF(Q233&gt;0,1.036,0.907+1.55*(P233/N233)-4.449*(P233/N233)^2)))</f>
        <v>1.048</v>
      </c>
      <c r="U233" s="39">
        <v>8100</v>
      </c>
      <c r="V233" s="40">
        <f>IF(H233="x",75+U233,IF(M233&lt;6.66,150+U233,-1.7384*M233^2+92.38*M233-388+U233))</f>
        <v>8626.188526</v>
      </c>
      <c r="W233" s="5">
        <v>6.2</v>
      </c>
      <c r="X233" s="5"/>
      <c r="Y233" s="5"/>
      <c r="Z233" s="5"/>
      <c r="AA233" s="5"/>
      <c r="AB233" s="5"/>
      <c r="AC233" s="5">
        <v>16.8</v>
      </c>
      <c r="AD233" s="33">
        <v>70</v>
      </c>
      <c r="AE233" s="5">
        <f>IF(AD233=0,(W233+4*X233+2*Y233+4*Z233+AA233)*AC233/12+W233*AB233/1.5,AD233)</f>
        <v>70</v>
      </c>
      <c r="AF233" s="11">
        <v>18</v>
      </c>
      <c r="AG233" s="11">
        <f>0.47*2.4</f>
        <v>1.128</v>
      </c>
      <c r="AH233" s="5">
        <f>IF(AC233=0,AE233+AF233*AG233/2,AE233+AC233*AG233/2)</f>
        <v>79.4752</v>
      </c>
      <c r="AI233" s="5">
        <v>16.8</v>
      </c>
      <c r="AJ233" s="3"/>
      <c r="AK233" s="33">
        <v>48</v>
      </c>
      <c r="AL233" s="5">
        <f>IF(AK233=0,AI233*AJ233/2,AK233)</f>
        <v>48</v>
      </c>
      <c r="AM233" s="3"/>
      <c r="AN233" s="5"/>
      <c r="AO233" s="5">
        <f t="shared" si="5049"/>
        <v>0.1319468914507713</v>
      </c>
      <c r="AP233" s="5">
        <f>AL233+AI233*(AN233-AO233)/2</f>
        <v>46.89164611181352</v>
      </c>
      <c r="AQ233" s="5">
        <f>0.1*(AE233+AL233)</f>
        <v>11.8</v>
      </c>
      <c r="AR233" s="11">
        <v>19</v>
      </c>
      <c r="AS233" s="11"/>
      <c r="AT233" s="11"/>
      <c r="AU233" s="11"/>
      <c r="AV233" s="33">
        <v>70</v>
      </c>
      <c r="AW233" s="5">
        <f>IF(AV233=0,AS233/6*(AT233+AU233*4),AV233)</f>
        <v>70</v>
      </c>
      <c r="AX233" s="11">
        <v>1.5</v>
      </c>
      <c r="AY233" s="5">
        <f>IF(AX233&lt;0.149*M233+0.329,1,AX233/(0.149*M233+0.329))</f>
        <v>1</v>
      </c>
      <c r="AZ233" s="5">
        <f>IF(AW233*AY233&gt;AL233,(AW233*AY233-AL233)/4,0)</f>
        <v>5.5</v>
      </c>
      <c r="BA233" s="12">
        <f>0.401+0.1831*(2*AR233^2/(AH233+AP233+AZ233))-0.02016*(2*AR233^2/(AH233+AP233+AZ233))^2+0.0007472*(2*AR233^2/(AH233+AP233+AZ233))^3</f>
        <v>0.9217982840729665</v>
      </c>
      <c r="BB233" s="3"/>
      <c r="BC233" s="3"/>
      <c r="BD233" s="3"/>
      <c r="BE233" s="3"/>
      <c r="BF233" s="33">
        <v>155</v>
      </c>
      <c r="BG233" s="5">
        <f>IF(BF233=0,(BC233+BD233)*(BB233/12+BE233/3),BF233)</f>
        <v>155</v>
      </c>
      <c r="BH233" s="5">
        <f>IF(BG233*AY233&gt;AL233+AZ233,BG233*AY233-AL233-AZ233,0)</f>
        <v>101.5</v>
      </c>
      <c r="BI233" s="42">
        <f>IF(M233/1.6&lt;8,ROUND(M233/1.6,0),8)</f>
        <v>8</v>
      </c>
      <c r="BJ233" s="5">
        <f>(AH233+AP233+AZ233)*BA233+0.1*BH233</f>
        <v>131.7046324719836</v>
      </c>
      <c r="BK233" s="11">
        <v>1.9</v>
      </c>
      <c r="BL233" s="5">
        <f>M233*0.2</f>
        <v>2.63</v>
      </c>
      <c r="BM233" s="5">
        <f>ROUNDDOWN(M233/2.13,0)</f>
        <v>6</v>
      </c>
      <c r="BN233" s="12">
        <f>M233/4.26</f>
        <v>3.086854460093897</v>
      </c>
      <c r="BO233" s="5">
        <f>IF(M233&lt;8,1.22,IF(M233&lt;15.2,0.108333*M233+0.353,2))</f>
        <v>1.77757895</v>
      </c>
      <c r="BP233" s="12">
        <f>IF(BK233&lt;BO233,1+0.3*(BO233-BK233)/M233,1)</f>
        <v>1</v>
      </c>
      <c r="BQ233" s="39">
        <v>7</v>
      </c>
      <c r="BR233" s="39">
        <v>2</v>
      </c>
      <c r="BS233" s="36"/>
      <c r="BT233" s="36"/>
      <c r="BU233" t="s" s="24">
        <v>154</v>
      </c>
      <c r="BV233" s="5">
        <f>IF(BQ233&lt;(M233/0.3048)^0.5,1,IF(BU233="x",1-BR233*0.02,IF(BT233="x",1-BR233*0.01,1)))</f>
        <v>0.96</v>
      </c>
      <c r="BW233" s="12">
        <f>IF(K233="x",MIN(1.315,1.28+U233*N233/BJ233/AR233/1100),IF(L233="x",1.28,MAX(1.245,1.28-U233*N233/BJ233/AR233/1100)))</f>
        <v>1.245</v>
      </c>
      <c r="BX233" s="41">
        <f>BW233*T233*BV233*BP233*N233^0.3*BJ233^0.4/V233^0.325</f>
        <v>1.027372796785144</v>
      </c>
      <c r="BY233" s="29"/>
      <c r="BZ233" s="29"/>
      <c r="CA233" t="s" s="19">
        <v>213</v>
      </c>
      <c r="CB233" t="s" s="19">
        <v>1473</v>
      </c>
      <c r="CC233" t="s" s="19">
        <v>614</v>
      </c>
      <c r="CD233" s="3"/>
      <c r="CE233" s="3"/>
      <c r="CF233" s="3"/>
      <c r="CG233" t="s" s="30">
        <f>A233</f>
        <v>1474</v>
      </c>
    </row>
    <row r="234" ht="12.75" customHeight="1">
      <c r="A234" t="s" s="25">
        <v>1475</v>
      </c>
      <c r="B234" t="s" s="19">
        <v>325</v>
      </c>
      <c r="C234" t="s" s="19">
        <v>1476</v>
      </c>
      <c r="D234" s="3"/>
      <c r="E234" t="s" s="19">
        <v>1477</v>
      </c>
      <c r="F234" s="3"/>
      <c r="G234" t="s" s="19">
        <v>1478</v>
      </c>
      <c r="H234" s="3"/>
      <c r="I234" s="3"/>
      <c r="J234" t="s" s="58">
        <v>154</v>
      </c>
      <c r="K234" s="3"/>
      <c r="L234" s="3"/>
      <c r="M234" s="59">
        <v>7.77</v>
      </c>
      <c r="N234" s="5">
        <v>7.77</v>
      </c>
      <c r="O234" s="59"/>
      <c r="P234" s="5"/>
      <c r="Q234" s="5"/>
      <c r="R234" t="s" s="24">
        <v>161</v>
      </c>
      <c r="S234" s="3"/>
      <c r="T234" s="63">
        <f>IF(S234&gt;0,1.048,IF(R234&gt;0,1.048,IF(Q234&gt;0,1.036,0.907+1.55*(P234/N234)-4.449*(P234/N234)^2)))</f>
        <v>1.048</v>
      </c>
      <c r="U234" s="39">
        <v>730</v>
      </c>
      <c r="V234" s="64">
        <f>IF(H234="x",75+U234,IF(M234&lt;6.66,150+U234,-1.7384*M234^2+92.38*M234-388+U234))</f>
        <v>954.8403506399999</v>
      </c>
      <c r="W234" s="5">
        <v>3.7</v>
      </c>
      <c r="X234" s="5">
        <v>3.37</v>
      </c>
      <c r="Y234" s="5">
        <v>2.84</v>
      </c>
      <c r="Z234" s="5">
        <v>1.79</v>
      </c>
      <c r="AA234" s="5">
        <v>0.12</v>
      </c>
      <c r="AB234" s="5">
        <v>0</v>
      </c>
      <c r="AC234" s="5">
        <v>11.32</v>
      </c>
      <c r="AD234" s="5"/>
      <c r="AE234" s="60">
        <f>IF(AD234=0,(W234+4*X234+2*Y234+4*Z234+AA234)*AC234/12+W234*AB234/1.5,AD234)</f>
        <v>28.43206666666667</v>
      </c>
      <c r="AF234" s="11"/>
      <c r="AG234" s="11"/>
      <c r="AH234" s="60">
        <f>IF(AC234=0,AE234+AF234*AG234/2,AE234+AC234*AG234/2)</f>
        <v>28.43206666666667</v>
      </c>
      <c r="AI234" s="5">
        <v>9.43</v>
      </c>
      <c r="AJ234" s="5">
        <v>2.2</v>
      </c>
      <c r="AK234" s="5"/>
      <c r="AL234" s="60">
        <f>IF(AK234=0,AI234*AJ234/2,AK234)</f>
        <v>10.373</v>
      </c>
      <c r="AM234" t="s" s="54">
        <v>154</v>
      </c>
      <c r="AN234" s="5"/>
      <c r="AO234" s="5"/>
      <c r="AP234" s="60">
        <f>AL234+AI234*(AN234-AO234)/2</f>
        <v>10.373</v>
      </c>
      <c r="AQ234" s="60">
        <f>0.1*(AE234+AL234)</f>
        <v>3.880506666666667</v>
      </c>
      <c r="AR234" s="11">
        <v>11.76</v>
      </c>
      <c r="AS234" s="11"/>
      <c r="AT234" s="11"/>
      <c r="AU234" s="11"/>
      <c r="AV234" s="73">
        <v>23.5</v>
      </c>
      <c r="AW234" s="5">
        <f>IF(AV234=0,AS234/6*(AT234+AU234*4),AV234)</f>
        <v>23.5</v>
      </c>
      <c r="AX234" s="11">
        <v>0</v>
      </c>
      <c r="AY234" s="60">
        <f>IF(AX234&lt;0.149*M234+0.329,1,AX234/(0.149*M234+0.329))</f>
        <v>1</v>
      </c>
      <c r="AZ234" s="5">
        <f>IF(AW234*AY234&gt;AL234,(AW234*AY234-AL234)/4,0)</f>
        <v>3.28175</v>
      </c>
      <c r="BA234" s="66">
        <f>0.401+0.1831*(2*AR234^2/(AH234+AP234+AZ234))-0.02016*(2*AR234^2/(AH234+AP234+AZ234))^2+0.0007472*(2*AR234^2/(AH234+AP234+AZ234))^3</f>
        <v>0.9456937170119082</v>
      </c>
      <c r="BB234" s="3"/>
      <c r="BC234" s="3"/>
      <c r="BD234" s="3"/>
      <c r="BE234" s="3"/>
      <c r="BF234" s="65"/>
      <c r="BG234" s="5">
        <f>IF(BF234=0,(BC234+BD234)*(BB234/12+BE234/3),BF234)</f>
        <v>0</v>
      </c>
      <c r="BH234" s="60">
        <f>IF(BG234*AY234&gt;AL234+AZ234,BG234*AY234-AL234-AZ234,0)</f>
        <v>0</v>
      </c>
      <c r="BI234" s="60">
        <f>IF(M234/1.6&lt;8,ROUND(M234/1.6,0),8)</f>
        <v>5</v>
      </c>
      <c r="BJ234" s="60">
        <f>(AH234+AP234+AZ234)*BA234+0.1*BH234</f>
        <v>39.80123809069873</v>
      </c>
      <c r="BK234" s="11">
        <v>1.22</v>
      </c>
      <c r="BL234" s="60">
        <f>M234*0.2</f>
        <v>1.554</v>
      </c>
      <c r="BM234" s="60">
        <f>ROUNDDOWN(M234/2.13,0)</f>
        <v>3</v>
      </c>
      <c r="BN234" s="66">
        <f>M234/4.26</f>
        <v>1.823943661971831</v>
      </c>
      <c r="BO234" s="60">
        <f>IF(M234&lt;8,1.22,IF(M234&lt;15.2,0.108333*M234+0.353,2))</f>
        <v>1.22</v>
      </c>
      <c r="BP234" s="66">
        <f>IF(BK234&lt;BO234,1+0.3*(BO234-BK234)/M234,1)</f>
        <v>1</v>
      </c>
      <c r="BQ234" s="3"/>
      <c r="BR234" s="3"/>
      <c r="BS234" t="s" s="58">
        <v>154</v>
      </c>
      <c r="BT234" s="3"/>
      <c r="BU234" s="3"/>
      <c r="BV234" s="60">
        <f>IF(BQ234&lt;(M234/0.3048)^0.5,1,IF(BU234="x",1-BR234*0.02,IF(BT234="x",1-BR234*0.01,1)))</f>
        <v>1</v>
      </c>
      <c r="BW234" s="66">
        <f>IF(K234="x",MIN(1.315,1.28+U234*N234/BJ234/AR234/1100),IF(L234="x",1.28,MAX(1.245,1.28-U234*N234/BJ234/AR234/1100)))</f>
        <v>1.268983407376051</v>
      </c>
      <c r="BX234" s="67">
        <f>BW234*T234*BV234*BP234*N234^0.3*BJ234^0.4/V234^0.325</f>
        <v>1.154581691105498</v>
      </c>
      <c r="BY234" s="29"/>
      <c r="BZ234" s="48"/>
      <c r="CA234" t="s" s="19">
        <v>253</v>
      </c>
      <c r="CB234" s="42">
        <v>1996</v>
      </c>
      <c r="CC234" t="s" s="19">
        <v>254</v>
      </c>
      <c r="CD234" s="3"/>
      <c r="CE234" s="3"/>
      <c r="CF234" s="3"/>
      <c r="CG234" t="s" s="30">
        <f>A234</f>
        <v>1479</v>
      </c>
    </row>
    <row r="235" ht="12.75" customHeight="1">
      <c r="A235" t="s" s="25">
        <v>1480</v>
      </c>
      <c r="B235" t="s" s="19">
        <v>574</v>
      </c>
      <c r="C235" s="3"/>
      <c r="D235" s="3"/>
      <c r="E235" t="s" s="19">
        <v>1481</v>
      </c>
      <c r="F235" s="3"/>
      <c r="G235" t="s" s="19">
        <v>1482</v>
      </c>
      <c r="H235" s="32"/>
      <c r="I235" s="32"/>
      <c r="J235" s="36"/>
      <c r="K235" t="s" s="24">
        <v>154</v>
      </c>
      <c r="L235" s="36"/>
      <c r="M235" s="11">
        <v>7.95</v>
      </c>
      <c r="N235" s="5">
        <v>7.95</v>
      </c>
      <c r="O235" s="11"/>
      <c r="P235" s="11"/>
      <c r="Q235" s="37"/>
      <c r="R235" t="s" s="24">
        <v>161</v>
      </c>
      <c r="S235" s="36"/>
      <c r="T235" s="38">
        <f>IF(S235&gt;0,1.048,IF(R235&gt;0,1.048,IF(Q235&gt;0,1.036,0.907+1.55*(P235/N235)-4.449*(P235/N235)^2)))</f>
        <v>1.048</v>
      </c>
      <c r="U235" s="39">
        <v>800</v>
      </c>
      <c r="V235" s="40">
        <f>IF(H235="x",75+U235,IF(M235&lt;6.66,150+U235,-1.7384*M235^2+92.38*M235-388+U235))</f>
        <v>1036.549774</v>
      </c>
      <c r="W235" s="5">
        <v>3.29</v>
      </c>
      <c r="X235" s="5">
        <v>3.05</v>
      </c>
      <c r="Y235" s="5">
        <v>2.67</v>
      </c>
      <c r="Z235" s="5">
        <v>2.07</v>
      </c>
      <c r="AA235" s="5">
        <v>0.1</v>
      </c>
      <c r="AB235" s="5">
        <v>0.07000000000000001</v>
      </c>
      <c r="AC235" s="5">
        <v>11.08</v>
      </c>
      <c r="AD235" s="33"/>
      <c r="AE235" s="5">
        <f>IF(AD235=0,(W235+4*X235+2*Y235+4*Z235+AA235)*AC235/12+W235*AB235/1.5,AD235)</f>
        <v>27.1241</v>
      </c>
      <c r="AF235" s="11">
        <v>12.5</v>
      </c>
      <c r="AG235" s="11">
        <v>0.49</v>
      </c>
      <c r="AH235" s="5">
        <f>IF(AC235=0,AE235+AF235*AG235/2,AE235+AC235*AG235/2)</f>
        <v>29.8387</v>
      </c>
      <c r="AI235" s="5">
        <v>8.699999999999999</v>
      </c>
      <c r="AJ235" s="5">
        <v>1.99</v>
      </c>
      <c r="AK235" s="33"/>
      <c r="AL235" s="5">
        <f>IF(AK235=0,AI235*AJ235/2,AK235)</f>
        <v>8.656499999999999</v>
      </c>
      <c r="AM235" s="3"/>
      <c r="AN235" s="5"/>
      <c r="AO235" s="5"/>
      <c r="AP235" s="5">
        <f>AL235+AI235*(AN235-AO235)/2</f>
        <v>8.656499999999999</v>
      </c>
      <c r="AQ235" s="5">
        <f>0.1*(AE235+AL235)</f>
        <v>3.57806</v>
      </c>
      <c r="AR235" s="11">
        <v>12.5</v>
      </c>
      <c r="AS235" s="11"/>
      <c r="AT235" s="11"/>
      <c r="AU235" s="11"/>
      <c r="AV235" s="33"/>
      <c r="AW235" s="5">
        <f>IF(AV235=0,AS235/6*(AT235+AU235*4),AV235)</f>
        <v>0</v>
      </c>
      <c r="AX235" s="11"/>
      <c r="AY235" s="5">
        <f>IF(AX235&lt;0.149*M235+0.329,1,AX235/(0.149*M235+0.329))</f>
        <v>1</v>
      </c>
      <c r="AZ235" s="5">
        <f>IF(AW235*AY235&gt;AL235,(AW235*AY235-AL235)/4,0)</f>
        <v>0</v>
      </c>
      <c r="BA235" s="12">
        <f>0.401+0.1831*(2*AR235^2/(AH235+AP235+AZ235))-0.02016*(2*AR235^2/(AH235+AP235+AZ235))^2+0.0007472*(2*AR235^2/(AH235+AP235+AZ235))^3</f>
        <v>0.9585685317450237</v>
      </c>
      <c r="BB235" s="5">
        <v>6.81</v>
      </c>
      <c r="BC235" s="5">
        <v>10.34</v>
      </c>
      <c r="BD235" s="5">
        <v>8.220000000000001</v>
      </c>
      <c r="BE235" s="5">
        <v>5.21</v>
      </c>
      <c r="BF235" s="33"/>
      <c r="BG235" s="5">
        <f>IF(BF235=0,(BC235+BD235)*(BB235/12+BE235/3),BF235)</f>
        <v>42.76533333333334</v>
      </c>
      <c r="BH235" s="5">
        <f>IF(BG235*AY235&gt;AL235+AZ235,BG235*AY235-AL235-AZ235,0)</f>
        <v>34.10883333333334</v>
      </c>
      <c r="BI235" s="5">
        <f>IF(M235/1.6&lt;8,ROUND(M235/1.6,0),8)</f>
        <v>5</v>
      </c>
      <c r="BJ235" s="5">
        <f>(AH235+AP235+AZ235)*BA235+0.1*BH235</f>
        <v>40.31117067656437</v>
      </c>
      <c r="BK235" s="11">
        <v>1.22</v>
      </c>
      <c r="BL235" s="5">
        <f>M235*0.2</f>
        <v>1.59</v>
      </c>
      <c r="BM235" s="5">
        <f>ROUNDDOWN(M235/2.13,0)</f>
        <v>3</v>
      </c>
      <c r="BN235" s="12">
        <f>M235/4.26</f>
        <v>1.866197183098592</v>
      </c>
      <c r="BO235" s="5">
        <f>IF(M235&lt;8,1.22,IF(M235&lt;15.2,0.108333*M235+0.353,2))</f>
        <v>1.22</v>
      </c>
      <c r="BP235" s="12">
        <f>IF(BK235&lt;BO235,1+0.3*(BO235-BK235)/M235,1)</f>
        <v>1</v>
      </c>
      <c r="BQ235" s="32"/>
      <c r="BR235" s="32"/>
      <c r="BS235" t="s" s="24">
        <v>154</v>
      </c>
      <c r="BT235" s="36"/>
      <c r="BU235" s="36"/>
      <c r="BV235" s="5">
        <f>IF(BQ235&lt;(M235/0.3048)^0.5,1,IF(BU235="x",1-BR235*0.02,IF(BT235="x",1-BR235*0.01,1)))</f>
        <v>1</v>
      </c>
      <c r="BW235" s="12">
        <f>IF(K235="x",MIN(1.315,1.28+U235*N235/BJ235/AR235/1100),IF(L235="x",1.28,MAX(1.245,1.28-U235*N235/BJ235/AR235/1100)))</f>
        <v>1.291474374144494</v>
      </c>
      <c r="BX235" s="41">
        <f>BW235*T235*BV235*BP235*N235^0.3*BJ235^0.4/V235^0.325</f>
        <v>1.157872065215608</v>
      </c>
      <c r="BY235" s="29"/>
      <c r="BZ235" s="48"/>
      <c r="CA235" t="s" s="19">
        <v>162</v>
      </c>
      <c r="CB235" s="42">
        <v>1997</v>
      </c>
      <c r="CC235" t="s" s="19">
        <v>254</v>
      </c>
      <c r="CD235" t="s" s="19">
        <v>415</v>
      </c>
      <c r="CE235" s="3"/>
      <c r="CF235" s="3"/>
      <c r="CG235" t="s" s="30">
        <f>A235</f>
        <v>1483</v>
      </c>
    </row>
    <row r="236" ht="12.75" customHeight="1">
      <c r="A236" t="s" s="25">
        <v>1484</v>
      </c>
      <c r="B236" t="s" s="19">
        <v>592</v>
      </c>
      <c r="C236" t="s" s="19">
        <v>593</v>
      </c>
      <c r="D236" t="s" s="19">
        <v>594</v>
      </c>
      <c r="E236" t="s" s="19">
        <v>1485</v>
      </c>
      <c r="F236" t="s" s="19">
        <v>1486</v>
      </c>
      <c r="G236" s="3"/>
      <c r="H236" s="32"/>
      <c r="I236" s="32"/>
      <c r="J236" s="36"/>
      <c r="K236" t="s" s="24">
        <v>154</v>
      </c>
      <c r="L236" s="36"/>
      <c r="M236" s="11">
        <v>4.4</v>
      </c>
      <c r="N236" s="5">
        <v>4.28</v>
      </c>
      <c r="O236" s="11">
        <v>3.5</v>
      </c>
      <c r="P236" s="11"/>
      <c r="Q236" s="37"/>
      <c r="R236" s="43">
        <v>0.72</v>
      </c>
      <c r="S236" s="36"/>
      <c r="T236" s="38">
        <f>IF(S236&gt;0,1.048,IF(R236&gt;0,1.048,IF(Q236&gt;0,1.036,0.907+1.55*(P236/N236)-4.449*(P236/N236)^2)))</f>
        <v>1.048</v>
      </c>
      <c r="U236" s="39">
        <v>140</v>
      </c>
      <c r="V236" s="40">
        <f>IF(H236="x",75+U236,IF(M236&lt;6.66,150+U236,-1.7384*M236^2+92.38*M236-388+U236))</f>
        <v>290</v>
      </c>
      <c r="W236" s="5"/>
      <c r="X236" s="5"/>
      <c r="Y236" s="5"/>
      <c r="Z236" s="5"/>
      <c r="AA236" s="5"/>
      <c r="AB236" s="5"/>
      <c r="AC236" s="5">
        <v>6.07</v>
      </c>
      <c r="AD236" s="33">
        <v>8.300000000000001</v>
      </c>
      <c r="AE236" s="5">
        <f>IF(AD236=0,(W236+4*X236+2*Y236+4*Z236+AA236)*AC236/12+W236*AB236/1.5,AD236)</f>
        <v>8.300000000000001</v>
      </c>
      <c r="AF236" s="11">
        <v>6.5</v>
      </c>
      <c r="AG236" s="11"/>
      <c r="AH236" s="5">
        <f>IF(AC236=0,AE236+AF236*AG236/2,AE236+AC236*AG236/2)</f>
        <v>8.300000000000001</v>
      </c>
      <c r="AI236" s="5">
        <v>4.47</v>
      </c>
      <c r="AJ236" s="3"/>
      <c r="AK236" s="33">
        <v>3.2</v>
      </c>
      <c r="AL236" s="5">
        <f>IF(AK236=0,AI236*AJ236/2,AK236)</f>
        <v>3.2</v>
      </c>
      <c r="AM236" t="s" s="19">
        <v>154</v>
      </c>
      <c r="AN236" s="5"/>
      <c r="AO236" s="5"/>
      <c r="AP236" s="5">
        <f>AL236+AI236*(AN236-AO236)/2</f>
        <v>3.2</v>
      </c>
      <c r="AQ236" s="5">
        <f>0.1*(AE236+AL236)</f>
        <v>1.15</v>
      </c>
      <c r="AR236" s="11">
        <v>6.5</v>
      </c>
      <c r="AS236" s="11"/>
      <c r="AT236" s="11"/>
      <c r="AU236" s="11"/>
      <c r="AV236" s="33">
        <v>8</v>
      </c>
      <c r="AW236" s="5">
        <f>IF(AV236=0,AS236/6*(AT236+AU236*4),AV236)</f>
        <v>8</v>
      </c>
      <c r="AX236" s="11">
        <v>1.15</v>
      </c>
      <c r="AY236" s="5">
        <f>IF(AX236&lt;0.149*M236+0.329,1,AX236/(0.149*M236+0.329))</f>
        <v>1.167986999796871</v>
      </c>
      <c r="AZ236" s="5">
        <f>IF(AW236*AY236&gt;AL236,(AW236*AY236-AL236)/4,0)</f>
        <v>1.535973999593743</v>
      </c>
      <c r="BA236" s="12">
        <f>0.401+0.1831*(2*AR236^2/(AH236+AP236+AZ236))-0.02016*(2*AR236^2/(AH236+AP236+AZ236))^2+0.0007472*(2*AR236^2/(AH236+AP236+AZ236))^3</f>
        <v>0.9443058855695854</v>
      </c>
      <c r="BB236" s="3"/>
      <c r="BC236" s="3"/>
      <c r="BD236" s="3"/>
      <c r="BE236" s="3"/>
      <c r="BF236" s="33">
        <v>0</v>
      </c>
      <c r="BG236" s="5">
        <f>IF(BF236=0,(BC236+BD236)*(BB236/12+BE236/3),BF236)</f>
        <v>0</v>
      </c>
      <c r="BH236" s="5">
        <f>IF(BG236*AY236&gt;AL236+AZ236,BG236*AY236-AL236-AZ236,0)</f>
        <v>0</v>
      </c>
      <c r="BI236" s="5">
        <f>IF(M236/1.6&lt;8,ROUND(M236/1.6,0),8)</f>
        <v>3</v>
      </c>
      <c r="BJ236" s="5">
        <f>(AH236+AP236+AZ236)*BA236+0.1*BH236</f>
        <v>12.30994697194846</v>
      </c>
      <c r="BK236" s="11">
        <v>0.25</v>
      </c>
      <c r="BL236" s="5">
        <f>M236*0.2</f>
        <v>0.8800000000000001</v>
      </c>
      <c r="BM236" s="5">
        <f>ROUNDDOWN(M236/2.13,0)</f>
        <v>2</v>
      </c>
      <c r="BN236" s="12">
        <f>M236/4.26</f>
        <v>1.032863849765258</v>
      </c>
      <c r="BO236" s="5">
        <f>IF(M236&lt;8,1.22,IF(M236&lt;15.2,0.108333*M236+0.353,2))</f>
        <v>1.22</v>
      </c>
      <c r="BP236" s="12">
        <f>IF(BK236&lt;BO236,1+0.3*(BO236-BK236)/M236,1)</f>
        <v>1.066136363636364</v>
      </c>
      <c r="BQ236" s="32"/>
      <c r="BR236" s="32"/>
      <c r="BS236" t="s" s="24">
        <v>154</v>
      </c>
      <c r="BT236" s="36"/>
      <c r="BU236" s="36"/>
      <c r="BV236" s="5">
        <f>IF(BQ236&lt;(M236/0.3048)^0.5,1,IF(BU236="x",1-BR236*0.02,IF(BT236="x",1-BR236*0.01,1)))</f>
        <v>1</v>
      </c>
      <c r="BW236" s="12">
        <f>IF(K236="x",MIN(1.315,1.28+U236*N236/BJ236/AR236/1100),IF(L236="x",1.28,MAX(1.245,1.28-U236*N236/BJ236/AR236/1100)))</f>
        <v>1.286807843770178</v>
      </c>
      <c r="BX236" s="41">
        <f>BW236*T236*BV236*BP236*N236^0.3*BJ236^0.4/V236^0.325</f>
        <v>0.9614882756336226</v>
      </c>
      <c r="BY236" s="29"/>
      <c r="BZ236" s="29"/>
      <c r="CA236" s="3"/>
      <c r="CB236" s="3"/>
      <c r="CC236" s="3"/>
      <c r="CD236" s="3"/>
      <c r="CE236" s="3"/>
      <c r="CF236" s="3"/>
      <c r="CG236" t="s" s="30">
        <f>A236</f>
        <v>1487</v>
      </c>
    </row>
    <row r="237" ht="12.75" customHeight="1">
      <c r="A237" t="s" s="25">
        <v>1488</v>
      </c>
      <c r="B237" t="s" s="19">
        <v>1489</v>
      </c>
      <c r="C237" t="s" s="19">
        <v>344</v>
      </c>
      <c r="D237" t="s" s="19">
        <v>345</v>
      </c>
      <c r="E237" t="s" s="19">
        <v>1490</v>
      </c>
      <c r="F237" t="s" s="19">
        <v>1491</v>
      </c>
      <c r="G237" s="42">
        <v>435</v>
      </c>
      <c r="H237" s="32"/>
      <c r="I237" s="32"/>
      <c r="J237" s="36"/>
      <c r="K237" t="s" s="24">
        <v>154</v>
      </c>
      <c r="L237" s="36"/>
      <c r="M237" s="11">
        <v>7.3</v>
      </c>
      <c r="N237" s="5">
        <v>6.9</v>
      </c>
      <c r="O237" s="11">
        <v>7.2</v>
      </c>
      <c r="P237" s="11"/>
      <c r="Q237" s="37"/>
      <c r="R237" t="s" s="24">
        <v>1492</v>
      </c>
      <c r="S237" s="36"/>
      <c r="T237" s="38">
        <f>IF(S237&gt;0,1.048,IF(R237&gt;0,1.048,IF(Q237&gt;0,1.036,0.907+1.55*(P237/N237)-4.449*(P237/N237)^2)))</f>
        <v>1.048</v>
      </c>
      <c r="U237" s="39">
        <v>1100</v>
      </c>
      <c r="V237" s="40">
        <f>IF(H237="x",75+U237,IF(M237&lt;6.66,150+U237,-1.7384*M237^2+92.38*M237-388+U237))</f>
        <v>1293.734664</v>
      </c>
      <c r="W237" s="5"/>
      <c r="X237" s="5"/>
      <c r="Y237" s="5"/>
      <c r="Z237" s="5"/>
      <c r="AA237" s="5"/>
      <c r="AB237" s="5"/>
      <c r="AC237" s="5">
        <v>9</v>
      </c>
      <c r="AD237" s="33">
        <v>22.5</v>
      </c>
      <c r="AE237" s="5">
        <f>IF(AD237=0,(W237+4*X237+2*Y237+4*Z237+AA237)*AC237/12+W237*AB237/1.5,AD237)</f>
        <v>22.5</v>
      </c>
      <c r="AF237" s="11">
        <v>9.699999999999999</v>
      </c>
      <c r="AG237" s="11">
        <v>0.41</v>
      </c>
      <c r="AH237" s="5">
        <f>IF(AC237=0,AE237+AF237*AG237/2,AE237+AC237*AG237/2)</f>
        <v>24.345</v>
      </c>
      <c r="AI237" s="5">
        <v>8.44</v>
      </c>
      <c r="AJ237" s="3"/>
      <c r="AK237" s="33">
        <v>11.3</v>
      </c>
      <c r="AL237" s="5">
        <f>IF(AK237=0,AI237*AJ237/2,AK237)</f>
        <v>11.3</v>
      </c>
      <c r="AM237" s="3"/>
      <c r="AN237" s="5"/>
      <c r="AO237" s="5">
        <v>0.13</v>
      </c>
      <c r="AP237" s="5">
        <f>AL237+AI237*(AN237-AO237)/2</f>
        <v>10.7514</v>
      </c>
      <c r="AQ237" s="5">
        <f>0.1*(AE237+AL237)</f>
        <v>3.38</v>
      </c>
      <c r="AR237" s="11">
        <v>11.05</v>
      </c>
      <c r="AS237" s="11"/>
      <c r="AT237" s="11"/>
      <c r="AU237" s="11"/>
      <c r="AV237" s="33">
        <v>22.5</v>
      </c>
      <c r="AW237" s="5">
        <f>IF(AV237=0,AS237/6*(AT237+AU237*4),AV237)</f>
        <v>22.5</v>
      </c>
      <c r="AX237" s="11">
        <v>1.31</v>
      </c>
      <c r="AY237" s="5">
        <f>IF(AX237&lt;0.149*M237+0.329,1,AX237/(0.149*M237+0.329))</f>
        <v>1</v>
      </c>
      <c r="AZ237" s="5">
        <f>IF(AW237*AY237&gt;AL237,(AW237*AY237-AL237)/4,0)</f>
        <v>2.8</v>
      </c>
      <c r="BA237" s="12">
        <f>0.401+0.1831*(2*AR237^2/(AH237+AP237+AZ237))-0.02016*(2*AR237^2/(AH237+AP237+AZ237))^2+0.0007472*(2*AR237^2/(AH237+AP237+AZ237))^3</f>
        <v>0.9436916525344383</v>
      </c>
      <c r="BB237" s="3"/>
      <c r="BC237" s="3"/>
      <c r="BD237" s="3"/>
      <c r="BE237" s="3"/>
      <c r="BF237" s="33">
        <v>53</v>
      </c>
      <c r="BG237" s="5">
        <f>IF(BF237=0,(BC237+BD237)*(BB237/12+BE237/3),BF237)</f>
        <v>53</v>
      </c>
      <c r="BH237" s="5">
        <f>IF(BG237*AY237&gt;AL237+AZ237,BG237*AY237-AL237-AZ237,0)</f>
        <v>38.90000000000001</v>
      </c>
      <c r="BI237" s="5">
        <f>IF(M237/1.6&lt;8,ROUND(M237/1.6,0),8)</f>
        <v>5</v>
      </c>
      <c r="BJ237" s="5">
        <f>(AH237+AP237+AZ237)*BA237+0.1*BH237</f>
        <v>39.65251634110609</v>
      </c>
      <c r="BK237" s="11">
        <v>1.6</v>
      </c>
      <c r="BL237" s="5">
        <f>M237*0.2</f>
        <v>1.46</v>
      </c>
      <c r="BM237" s="5">
        <f>ROUNDDOWN(M237/2.13,0)</f>
        <v>3</v>
      </c>
      <c r="BN237" s="12">
        <f>M237/4.26</f>
        <v>1.713615023474178</v>
      </c>
      <c r="BO237" s="5">
        <f>IF(M237&lt;8,1.22,IF(M237&lt;15.2,0.108333*M237+0.353,2))</f>
        <v>1.22</v>
      </c>
      <c r="BP237" s="12">
        <f>IF(BK237&lt;BO237,1+0.3*(BO237-BK237)/M237,1)</f>
        <v>1</v>
      </c>
      <c r="BQ237" s="39">
        <v>6</v>
      </c>
      <c r="BR237" s="39">
        <v>1</v>
      </c>
      <c r="BS237" t="s" s="24">
        <v>154</v>
      </c>
      <c r="BT237" s="36"/>
      <c r="BU237" s="36"/>
      <c r="BV237" s="5">
        <f>IF(BQ237&lt;(M237/0.3048)^0.5,1,IF(BU237="x",1-BR237*0.02,IF(BT237="x",1-BR237*0.01,1)))</f>
        <v>1</v>
      </c>
      <c r="BW237" s="12">
        <f>IF(K237="x",MIN(1.315,1.28+U237*N237/BJ237/AR237/1100),IF(L237="x",1.28,MAX(1.245,1.28-U237*N237/BJ237/AR237/1100)))</f>
        <v>1.295747661100966</v>
      </c>
      <c r="BX237" s="41">
        <f>BW237*T237*BV237*BP237*N237^0.3*BJ237^0.4/V237^0.325</f>
        <v>1.029188796151322</v>
      </c>
      <c r="BY237" s="29"/>
      <c r="BZ237" s="29"/>
      <c r="CA237" t="s" s="19">
        <v>188</v>
      </c>
      <c r="CB237" s="42">
        <v>2008</v>
      </c>
      <c r="CC237" t="s" s="19">
        <v>164</v>
      </c>
      <c r="CD237" t="s" s="19">
        <v>1493</v>
      </c>
      <c r="CE237" s="3"/>
      <c r="CF237" s="3"/>
      <c r="CG237" t="s" s="30">
        <f>A237</f>
        <v>1494</v>
      </c>
    </row>
    <row r="238" ht="12.75" customHeight="1">
      <c r="A238" t="s" s="25">
        <v>1495</v>
      </c>
      <c r="B238" t="s" s="19">
        <v>1496</v>
      </c>
      <c r="C238" t="s" s="19">
        <v>193</v>
      </c>
      <c r="D238" t="s" s="19">
        <v>193</v>
      </c>
      <c r="E238" t="s" s="19">
        <v>1497</v>
      </c>
      <c r="F238" s="3"/>
      <c r="G238" s="3"/>
      <c r="H238" s="32"/>
      <c r="I238" s="32"/>
      <c r="J238" s="36"/>
      <c r="K238" t="s" s="24">
        <v>154</v>
      </c>
      <c r="L238" s="36"/>
      <c r="M238" s="11">
        <v>9.199999999999999</v>
      </c>
      <c r="N238" s="5">
        <v>9</v>
      </c>
      <c r="O238" s="11"/>
      <c r="P238" s="11"/>
      <c r="Q238" t="s" s="24">
        <v>161</v>
      </c>
      <c r="R238" s="36"/>
      <c r="S238" s="36"/>
      <c r="T238" s="38">
        <f>IF(S238&gt;0,1.048,IF(R238&gt;0,1.048,IF(Q238&gt;0,1.036,0.907+1.55*(P238/N238)-4.449*(P238/N238)^2)))</f>
        <v>1.036</v>
      </c>
      <c r="U238" s="39">
        <v>1900</v>
      </c>
      <c r="V238" s="40">
        <f>IF(H238="x",75+U238,IF(M238&lt;6.66,150+U238,-1.7384*M238^2+92.38*M238-388+U238))</f>
        <v>2214.757824</v>
      </c>
      <c r="W238" s="5"/>
      <c r="X238" s="5"/>
      <c r="Y238" s="5"/>
      <c r="Z238" s="5"/>
      <c r="AA238" s="5"/>
      <c r="AB238" s="5"/>
      <c r="AC238" s="5">
        <v>12.5</v>
      </c>
      <c r="AD238" s="33">
        <v>33</v>
      </c>
      <c r="AE238" s="5">
        <f>IF(AD238=0,(W238+4*X238+2*Y238+4*Z238+AA238)*AC238/12+W238*AB238/1.5,AD238)</f>
        <v>33</v>
      </c>
      <c r="AF238" s="11">
        <v>13.1</v>
      </c>
      <c r="AG238" s="11"/>
      <c r="AH238" s="5">
        <f>IF(AC238=0,AE238+AF238*AG238/2,AE238+AC238*AG238/2)</f>
        <v>33</v>
      </c>
      <c r="AI238" s="3"/>
      <c r="AJ238" s="3"/>
      <c r="AK238" s="33">
        <v>22.5</v>
      </c>
      <c r="AL238" s="5">
        <f>IF(AK238=0,AI238*AJ238/2,AK238)</f>
        <v>22.5</v>
      </c>
      <c r="AM238" s="3"/>
      <c r="AN238" s="5"/>
      <c r="AO238" s="5"/>
      <c r="AP238" s="5">
        <f>AL238+AI238*(AN238-AO238)/2</f>
        <v>22.5</v>
      </c>
      <c r="AQ238" s="5">
        <f>0.1*(AE238+AL238)</f>
        <v>5.550000000000001</v>
      </c>
      <c r="AR238" s="11">
        <v>13.1</v>
      </c>
      <c r="AS238" s="11"/>
      <c r="AT238" s="11"/>
      <c r="AU238" s="11"/>
      <c r="AV238" s="33">
        <v>65</v>
      </c>
      <c r="AW238" s="5">
        <f>IF(AV238=0,AS238/6*(AT238+AU238*4),AV238)</f>
        <v>65</v>
      </c>
      <c r="AX238" s="11"/>
      <c r="AY238" s="5">
        <f>IF(AX238&lt;0.149*M238+0.329,1,AX238/(0.149*M238+0.329))</f>
        <v>1</v>
      </c>
      <c r="AZ238" s="5">
        <f>IF(AW238*AY238&gt;AL238,(AW238*AY238-AL238)/4,0)</f>
        <v>10.625</v>
      </c>
      <c r="BA238" s="12">
        <f>0.401+0.1831*(2*AR238^2/(AH238+AP238+AZ238))-0.02016*(2*AR238^2/(AH238+AP238+AZ238))^2+0.0007472*(2*AR238^2/(AH238+AP238+AZ238))^3</f>
        <v>0.9127307275671919</v>
      </c>
      <c r="BB238" s="3"/>
      <c r="BC238" s="3"/>
      <c r="BD238" s="3"/>
      <c r="BE238" s="3"/>
      <c r="BF238" s="33">
        <v>75</v>
      </c>
      <c r="BG238" s="5">
        <f>IF(BF238=0,(BC238+BD238)*(BB238/12+BE238/3),BF238)</f>
        <v>75</v>
      </c>
      <c r="BH238" s="5">
        <f>IF(BG238*AY238&gt;AL238+AZ238,BG238*AY238-AL238-AZ238,0)</f>
        <v>41.875</v>
      </c>
      <c r="BI238" s="5">
        <f>IF(M238/1.6&lt;8,ROUND(M238/1.6,0),8)</f>
        <v>6</v>
      </c>
      <c r="BJ238" s="5">
        <f>(AH238+AP238+AZ238)*BA238+0.1*BH238</f>
        <v>64.54181936038057</v>
      </c>
      <c r="BK238" s="11">
        <v>1.8</v>
      </c>
      <c r="BL238" s="5">
        <f>M238*0.2</f>
        <v>1.84</v>
      </c>
      <c r="BM238" s="5">
        <f>ROUNDDOWN(M238/2.13,0)</f>
        <v>4</v>
      </c>
      <c r="BN238" s="12">
        <f>M238/4.26</f>
        <v>2.15962441314554</v>
      </c>
      <c r="BO238" s="5">
        <f>IF(M238&lt;8,1.22,IF(M238&lt;15.2,0.108333*M238+0.353,2))</f>
        <v>1.3496636</v>
      </c>
      <c r="BP238" s="12">
        <f>IF(BK238&lt;BO238,1+0.3*(BO238-BK238)/M238,1)</f>
        <v>1</v>
      </c>
      <c r="BQ238" s="32"/>
      <c r="BR238" s="32"/>
      <c r="BS238" t="s" s="24">
        <v>154</v>
      </c>
      <c r="BT238" s="36"/>
      <c r="BU238" s="36"/>
      <c r="BV238" s="5">
        <f>IF(BQ238&lt;(M238/0.3048)^0.5,1,IF(BU238="x",1-BR238*0.02,IF(BT238="x",1-BR238*0.01,1)))</f>
        <v>1</v>
      </c>
      <c r="BW238" s="12">
        <f>IF(K238="x",MIN(1.315,1.28+U238*N238/BJ238/AR238/1100),IF(L238="x",1.28,MAX(1.245,1.28-U238*N238/BJ238/AR238/1100)))</f>
        <v>1.298386155383602</v>
      </c>
      <c r="BX238" s="41">
        <f>BW238*T238*BV238*BP238*N238^0.3*BJ238^0.4/V238^0.325</f>
        <v>1.126527599244957</v>
      </c>
      <c r="BY238" s="29"/>
      <c r="BZ238" s="48"/>
      <c r="CA238" t="s" s="19">
        <v>162</v>
      </c>
      <c r="CB238" s="46">
        <v>38272</v>
      </c>
      <c r="CC238" t="s" s="19">
        <v>180</v>
      </c>
      <c r="CD238" t="s" s="19">
        <v>1498</v>
      </c>
      <c r="CE238" s="3"/>
      <c r="CF238" s="3"/>
      <c r="CG238" t="s" s="30">
        <f>A238</f>
        <v>1499</v>
      </c>
    </row>
    <row r="239" ht="12.75" customHeight="1">
      <c r="A239" t="s" s="25">
        <v>1500</v>
      </c>
      <c r="B239" t="s" s="19">
        <v>1501</v>
      </c>
      <c r="C239" s="3"/>
      <c r="D239" t="s" s="54">
        <v>1502</v>
      </c>
      <c r="E239" t="s" s="19">
        <v>1503</v>
      </c>
      <c r="F239" s="3"/>
      <c r="G239" t="s" s="19">
        <v>1504</v>
      </c>
      <c r="H239" s="56"/>
      <c r="I239" s="56"/>
      <c r="J239" s="57"/>
      <c r="K239" t="s" s="58">
        <v>154</v>
      </c>
      <c r="L239" s="57"/>
      <c r="M239" s="59">
        <v>6.77</v>
      </c>
      <c r="N239" s="60">
        <f>M239-0.025</f>
        <v>6.744999999999999</v>
      </c>
      <c r="O239" s="59">
        <v>5.68</v>
      </c>
      <c r="P239" s="59"/>
      <c r="Q239" s="61"/>
      <c r="R239" s="84">
        <v>1</v>
      </c>
      <c r="S239" s="57"/>
      <c r="T239" s="63">
        <f>IF(S239&gt;0,1.048,IF(R239&gt;0,1.048,IF(Q239&gt;0,1.036,0.907+1.55*(P239/N239)-4.449*(P239/N239)^2)))</f>
        <v>1.048</v>
      </c>
      <c r="U239" s="62">
        <v>590</v>
      </c>
      <c r="V239" s="64">
        <f>IF(H239="x",75+U239,IF(M239&lt;6.66,150+U239,-1.7384*M239^2+92.38*M239-388+U239))</f>
        <v>747.7366866399999</v>
      </c>
      <c r="W239" s="60">
        <v>2.5</v>
      </c>
      <c r="X239" s="60">
        <v>2.47</v>
      </c>
      <c r="Y239" s="60">
        <v>2.35</v>
      </c>
      <c r="Z239" s="60">
        <v>2.12</v>
      </c>
      <c r="AA239" s="60">
        <v>1.18</v>
      </c>
      <c r="AB239" s="60">
        <v>0.034</v>
      </c>
      <c r="AC239" s="60">
        <v>8.619999999999999</v>
      </c>
      <c r="AD239" s="65"/>
      <c r="AE239" s="60">
        <f>IF(AD239=0,(W239+4*X239+2*Y239+4*Z239+AA239)*AC239/12+W239*AB239/1.5,AD239)</f>
        <v>19.2649</v>
      </c>
      <c r="AF239" s="59"/>
      <c r="AG239" s="59"/>
      <c r="AH239" s="60">
        <f>IF(AC239=0,AE239+AF239*AG239/2,AE239+AC239*AG239/2)</f>
        <v>19.2649</v>
      </c>
      <c r="AI239" s="60">
        <v>7.35</v>
      </c>
      <c r="AJ239" s="60">
        <v>1.85</v>
      </c>
      <c r="AK239" s="65"/>
      <c r="AL239" s="60">
        <f>IF(AK239=0,AI239*AJ239/2,AK239)</f>
        <v>6.79875</v>
      </c>
      <c r="AM239" t="s" s="54">
        <v>154</v>
      </c>
      <c r="AN239" s="60"/>
      <c r="AO239" s="60"/>
      <c r="AP239" s="60">
        <f>AL239+AI239*(AN239-AO239)/2</f>
        <v>6.79875</v>
      </c>
      <c r="AQ239" s="60">
        <f>0.1*(AE239+AL239)</f>
        <v>2.606365</v>
      </c>
      <c r="AR239" s="59">
        <v>9.65</v>
      </c>
      <c r="AS239" s="59"/>
      <c r="AT239" s="59"/>
      <c r="AU239" s="59"/>
      <c r="AV239" s="65">
        <f>0.409*8.35*(3.07+5.21/2)</f>
        <v>19.38097625</v>
      </c>
      <c r="AW239" s="5">
        <f>IF(AV239=0,AS239/6*(AT239+AU239*4),AV239)</f>
        <v>19.38097625</v>
      </c>
      <c r="AX239" s="59">
        <v>1.01</v>
      </c>
      <c r="AY239" s="60">
        <f>IF(AX239&lt;0.149*M239+0.329,1,AX239/(0.149*M239+0.329))</f>
        <v>1</v>
      </c>
      <c r="AZ239" s="5">
        <f>IF(AW239*AY239&gt;AL239,(AW239*AY239-AL239)/4,0)</f>
        <v>3.145556562499999</v>
      </c>
      <c r="BA239" s="66">
        <f>0.401+0.1831*(2*AR239^2/(AH239+AP239+AZ239))-0.02016*(2*AR239^2/(AH239+AP239+AZ239))^2+0.0007472*(2*AR239^2/(AH239+AP239+AZ239))^3</f>
        <v>0.9425563746259865</v>
      </c>
      <c r="BB239" s="60"/>
      <c r="BC239" s="60"/>
      <c r="BD239" s="60"/>
      <c r="BE239" s="60"/>
      <c r="BF239" s="65"/>
      <c r="BG239" s="60">
        <f>IF(BF239=0,(BC239+BD239)*(BB239/12+BE239/3),BF239)</f>
        <v>0</v>
      </c>
      <c r="BH239" s="60">
        <f>IF(BG239*AY239&gt;AL239+AZ239,BG239*AY239-AL239-AZ239,0)</f>
        <v>0</v>
      </c>
      <c r="BI239" s="60">
        <f>IF(M239/1.6&lt;8,ROUND(M239/1.6,0),8)</f>
        <v>4</v>
      </c>
      <c r="BJ239" s="60">
        <f>(AH239+AP239+AZ239)*BA239+0.1*BH239</f>
        <v>27.53132384325157</v>
      </c>
      <c r="BK239" s="59">
        <v>1.26</v>
      </c>
      <c r="BL239" s="60">
        <f>M239*0.2</f>
        <v>1.354</v>
      </c>
      <c r="BM239" s="60">
        <f>ROUNDDOWN(M239/2.13,0)</f>
        <v>3</v>
      </c>
      <c r="BN239" s="66">
        <f>M239/4.26</f>
        <v>1.589201877934272</v>
      </c>
      <c r="BO239" s="60">
        <f>IF(M239&lt;8,1.22,IF(M239&lt;15.2,0.108333*M239+0.353,2))</f>
        <v>1.22</v>
      </c>
      <c r="BP239" s="66">
        <f>IF(BK239&lt;BO239,1+0.3*(BO239-BK239)/M239,1)</f>
        <v>1</v>
      </c>
      <c r="BQ239" s="56"/>
      <c r="BR239" s="56"/>
      <c r="BS239" t="s" s="58">
        <v>154</v>
      </c>
      <c r="BT239" s="57"/>
      <c r="BU239" s="57"/>
      <c r="BV239" s="60">
        <f>IF(BQ239&lt;(M239/0.3048)^0.5,1,IF(BU239="x",1-BR239*0.02,IF(BT239="x",1-BR239*0.01,1)))</f>
        <v>1</v>
      </c>
      <c r="BW239" s="66">
        <f>IF(K239="x",MIN(1.315,1.28+U239*N239/BJ239/AR239/1100),IF(L239="x",1.28,MAX(1.245,1.28-U239*N239/BJ239/AR239/1100)))</f>
        <v>1.293617170403765</v>
      </c>
      <c r="BX239" s="67">
        <f>BW239*T239*BV239*BP239*N239^0.3*BJ239^0.4/V239^0.325</f>
        <v>1.053960061723751</v>
      </c>
      <c r="BY239" s="29"/>
      <c r="BZ239" s="29"/>
      <c r="CA239" t="s" s="54">
        <v>589</v>
      </c>
      <c r="CB239" s="83">
        <v>38401</v>
      </c>
      <c r="CC239" t="s" s="19">
        <v>254</v>
      </c>
      <c r="CD239" s="3"/>
      <c r="CE239" s="3"/>
      <c r="CF239" s="3"/>
      <c r="CG239" t="s" s="30">
        <f>A239</f>
        <v>1505</v>
      </c>
    </row>
    <row r="240" ht="12.75" customHeight="1">
      <c r="A240" t="s" s="25">
        <v>1506</v>
      </c>
      <c r="B240" t="s" s="19">
        <v>911</v>
      </c>
      <c r="C240" t="s" s="19">
        <v>193</v>
      </c>
      <c r="D240" t="s" s="19">
        <v>193</v>
      </c>
      <c r="E240" s="3"/>
      <c r="F240" s="3"/>
      <c r="G240" t="s" s="19">
        <v>1507</v>
      </c>
      <c r="H240" s="32"/>
      <c r="I240" s="32"/>
      <c r="J240" s="36"/>
      <c r="K240" t="s" s="24">
        <v>154</v>
      </c>
      <c r="L240" s="36"/>
      <c r="M240" s="11">
        <v>7.74</v>
      </c>
      <c r="N240" s="5">
        <v>7.48</v>
      </c>
      <c r="O240" s="11"/>
      <c r="P240" s="11"/>
      <c r="Q240" s="37"/>
      <c r="R240" t="s" s="24">
        <v>913</v>
      </c>
      <c r="S240" s="36"/>
      <c r="T240" s="38">
        <f>IF(S240&gt;0,1.048,IF(R240&gt;0,1.048,IF(Q240&gt;0,1.036,0.907+1.55*(P240/N240)-4.449*(P240/N240)^2)))</f>
        <v>1.048</v>
      </c>
      <c r="U240" s="39">
        <v>912</v>
      </c>
      <c r="V240" s="40">
        <f>IF(H240="x",75+U240,IF(M240&lt;6.66,150+U240,-1.7384*M240^2+92.38*M240-388+U240))</f>
        <v>1134.87782816</v>
      </c>
      <c r="W240" s="5"/>
      <c r="X240" s="5"/>
      <c r="Y240" s="5"/>
      <c r="Z240" s="5"/>
      <c r="AA240" s="5"/>
      <c r="AB240" s="5"/>
      <c r="AC240" s="5">
        <v>9.65</v>
      </c>
      <c r="AD240" s="33">
        <v>24.8</v>
      </c>
      <c r="AE240" s="5">
        <f>IF(AD240=0,(W240+4*X240+2*Y240+4*Z240+AA240)*AC240/12+W240*AB240/1.5,AD240)</f>
        <v>24.8</v>
      </c>
      <c r="AF240" s="11">
        <v>10.85</v>
      </c>
      <c r="AG240" s="11"/>
      <c r="AH240" s="5">
        <f>IF(AC240=0,AE240+AF240*AG240/2,AE240+AC240*AG240/2)</f>
        <v>24.8</v>
      </c>
      <c r="AI240" s="5">
        <v>6.04</v>
      </c>
      <c r="AJ240" s="3"/>
      <c r="AK240" s="33">
        <v>11</v>
      </c>
      <c r="AL240" s="5">
        <f>IF(AK240=0,AI240*AJ240/2,AK240)</f>
        <v>11</v>
      </c>
      <c r="AM240" s="3"/>
      <c r="AN240" s="5"/>
      <c r="AO240" s="5"/>
      <c r="AP240" s="5">
        <f>AL240+AI240*(AN240-AO240)/2</f>
        <v>11</v>
      </c>
      <c r="AQ240" s="5">
        <f>0.1*(AE240+AL240)</f>
        <v>3.58</v>
      </c>
      <c r="AR240" s="11">
        <v>10.85</v>
      </c>
      <c r="AS240" s="11"/>
      <c r="AT240" s="11"/>
      <c r="AU240" s="11"/>
      <c r="AV240" s="33"/>
      <c r="AW240" s="5">
        <f>IF(AV240=0,AS240/6*(AT240+AU240*4),AV240)</f>
        <v>0</v>
      </c>
      <c r="AX240" s="11">
        <v>1.26</v>
      </c>
      <c r="AY240" s="5">
        <f>IF(AX240&lt;0.149*M240+0.329,1,AX240/(0.149*M240+0.329))</f>
        <v>1</v>
      </c>
      <c r="AZ240" s="5">
        <f>IF(AW240*AY240&gt;AL240,(AW240*AY240-AL240)/4,0)</f>
        <v>0</v>
      </c>
      <c r="BA240" s="12">
        <f>0.401+0.1831*(2*AR240^2/(AH240+AP240+AZ240))-0.02016*(2*AR240^2/(AH240+AP240+AZ240))^2+0.0007472*(2*AR240^2/(AH240+AP240+AZ240))^3</f>
        <v>0.94576320353196</v>
      </c>
      <c r="BB240" s="3"/>
      <c r="BC240" s="3"/>
      <c r="BD240" s="3"/>
      <c r="BE240" s="3"/>
      <c r="BF240" s="33">
        <v>57.4</v>
      </c>
      <c r="BG240" s="5">
        <f>IF(BF240=0,(BC240+BD240)*(BB240/12+BE240/3),BF240)</f>
        <v>57.4</v>
      </c>
      <c r="BH240" s="5">
        <f>IF(BG240*AY240&gt;AL240+AZ240,BG240*AY240-AL240-AZ240,0)</f>
        <v>46.4</v>
      </c>
      <c r="BI240" s="5">
        <f>IF(M240/1.6&lt;8,ROUND(M240/1.6,0),8)</f>
        <v>5</v>
      </c>
      <c r="BJ240" s="5">
        <f>(AH240+AP240+AZ240)*BA240+0.1*BH240</f>
        <v>38.49832268644416</v>
      </c>
      <c r="BK240" s="11">
        <v>1.4</v>
      </c>
      <c r="BL240" s="5">
        <f>M240*0.2</f>
        <v>1.548</v>
      </c>
      <c r="BM240" s="5">
        <f>ROUNDDOWN(M240/2.13,0)</f>
        <v>3</v>
      </c>
      <c r="BN240" s="12">
        <f>M240/4.26</f>
        <v>1.816901408450704</v>
      </c>
      <c r="BO240" s="5">
        <f>IF(M240&lt;8,1.22,IF(M240&lt;15.2,0.108333*M240+0.353,2))</f>
        <v>1.22</v>
      </c>
      <c r="BP240" s="12">
        <f>IF(BK240&lt;BO240,1+0.3*(BO240-BK240)/M240,1)</f>
        <v>1</v>
      </c>
      <c r="BQ240" s="32"/>
      <c r="BR240" s="32"/>
      <c r="BS240" t="s" s="24">
        <v>154</v>
      </c>
      <c r="BT240" s="36"/>
      <c r="BU240" s="36"/>
      <c r="BV240" s="5">
        <f>IF(BQ240&lt;(M240/0.3048)^0.5,1,IF(BU240="x",1-BR240*0.02,IF(BT240="x",1-BR240*0.01,1)))</f>
        <v>1</v>
      </c>
      <c r="BW240" s="12">
        <f>IF(K240="x",MIN(1.315,1.28+U240*N240/BJ240/AR240/1100),IF(L240="x",1.28,MAX(1.245,1.28-U240*N240/BJ240/AR240/1100)))</f>
        <v>1.294846777651111</v>
      </c>
      <c r="BX240" s="41">
        <f>BW240*T240*BV240*BP240*N240^0.3*BJ240^0.4/V240^0.325</f>
        <v>1.086596756921735</v>
      </c>
      <c r="BY240" s="44">
        <v>25</v>
      </c>
      <c r="BZ240" s="29"/>
      <c r="CA240" t="s" s="19">
        <v>213</v>
      </c>
      <c r="CB240" t="s" s="19">
        <v>1508</v>
      </c>
      <c r="CC240" t="s" s="19">
        <v>254</v>
      </c>
      <c r="CD240" t="s" s="19">
        <v>1509</v>
      </c>
      <c r="CE240" s="3"/>
      <c r="CF240" s="3"/>
      <c r="CG240" t="s" s="30">
        <f>A240</f>
        <v>1510</v>
      </c>
    </row>
    <row r="241" ht="12.75" customHeight="1">
      <c r="A241" t="s" s="25">
        <v>1511</v>
      </c>
      <c r="B241" t="s" s="19">
        <v>480</v>
      </c>
      <c r="C241" t="s" s="19">
        <v>193</v>
      </c>
      <c r="D241" t="s" s="19">
        <v>193</v>
      </c>
      <c r="E241" s="3"/>
      <c r="F241" s="3"/>
      <c r="G241" s="42">
        <v>245</v>
      </c>
      <c r="H241" s="32"/>
      <c r="I241" s="32"/>
      <c r="J241" s="36"/>
      <c r="K241" t="s" s="24">
        <v>154</v>
      </c>
      <c r="L241" s="36"/>
      <c r="M241" s="11">
        <v>8</v>
      </c>
      <c r="N241" s="5">
        <v>7.8</v>
      </c>
      <c r="O241" s="11"/>
      <c r="P241" s="11"/>
      <c r="Q241" t="s" s="24">
        <v>161</v>
      </c>
      <c r="R241" s="36"/>
      <c r="S241" s="36"/>
      <c r="T241" s="38">
        <f>IF(S241&gt;0,1.048,IF(R241&gt;0,1.048,IF(Q241&gt;0,1.036,0.907+1.55*(P241/N241)-4.449*(P241/N241)^2)))</f>
        <v>1.036</v>
      </c>
      <c r="U241" s="39">
        <v>1140</v>
      </c>
      <c r="V241" s="40">
        <f>IF(H241="x",75+U241,IF(M241&lt;6.66,150+U241,-1.7384*M241^2+92.38*M241-388+U241))</f>
        <v>1379.7824</v>
      </c>
      <c r="W241" s="5">
        <v>3</v>
      </c>
      <c r="X241" s="5">
        <v>2.85</v>
      </c>
      <c r="Y241" s="5">
        <v>2.54</v>
      </c>
      <c r="Z241" s="5">
        <v>1.91</v>
      </c>
      <c r="AA241" s="5">
        <v>0.13</v>
      </c>
      <c r="AB241" s="5"/>
      <c r="AC241" s="5">
        <v>9.74</v>
      </c>
      <c r="AD241" s="33"/>
      <c r="AE241" s="5">
        <f>IF(AD241=0,(W241+4*X241+2*Y241+4*Z241+AA241)*AC241/12+W241*AB241/1.5,AD241)</f>
        <v>22.11791666666667</v>
      </c>
      <c r="AF241" s="11">
        <v>11</v>
      </c>
      <c r="AG241" s="11">
        <v>0.49</v>
      </c>
      <c r="AH241" s="5">
        <f>IF(AC241=0,AE241+AF241*AG241/2,AE241+AC241*AG241/2)</f>
        <v>24.50421666666667</v>
      </c>
      <c r="AI241" s="5">
        <v>8.52</v>
      </c>
      <c r="AJ241" s="5">
        <v>3</v>
      </c>
      <c r="AK241" s="33"/>
      <c r="AL241" s="5">
        <f>IF(AK241=0,AI241*AJ241/2,AK241)</f>
        <v>12.78</v>
      </c>
      <c r="AM241" s="3"/>
      <c r="AN241" s="5"/>
      <c r="AO241" s="5"/>
      <c r="AP241" s="5">
        <f>AL241+AI241*(AN241-AO241)/2</f>
        <v>12.78</v>
      </c>
      <c r="AQ241" s="5">
        <f>0.1*(AE241+AL241)</f>
        <v>3.489791666666667</v>
      </c>
      <c r="AR241" s="11">
        <v>11.3</v>
      </c>
      <c r="AS241" s="11"/>
      <c r="AT241" s="11"/>
      <c r="AU241" s="11"/>
      <c r="AV241" s="33"/>
      <c r="AW241" s="5">
        <f>IF(AV241=0,AS241/6*(AT241+AU241*4),AV241)</f>
        <v>0</v>
      </c>
      <c r="AX241" s="11">
        <v>1.5</v>
      </c>
      <c r="AY241" s="5">
        <f>IF(AX241&lt;0.149*M241+0.329,1,AX241/(0.149*M241+0.329))</f>
        <v>1</v>
      </c>
      <c r="AZ241" s="5">
        <f>IF(AW241*AY241&gt;AL241,(AW241*AY241-AL241)/4,0)</f>
        <v>0</v>
      </c>
      <c r="BA241" s="12">
        <f>0.401+0.1831*(2*AR241^2/(AH241+AP241+AZ241))-0.02016*(2*AR241^2/(AH241+AP241+AZ241))^2+0.0007472*(2*AR241^2/(AH241+AP241+AZ241))^3</f>
        <v>0.949436294492372</v>
      </c>
      <c r="BB241" s="3"/>
      <c r="BC241" s="3"/>
      <c r="BD241" s="3"/>
      <c r="BE241" s="3"/>
      <c r="BF241" s="33">
        <v>38.8</v>
      </c>
      <c r="BG241" s="5">
        <f>IF(BF241=0,(BC241+BD241)*(BB241/12+BE241/3),BF241)</f>
        <v>38.8</v>
      </c>
      <c r="BH241" s="5">
        <f>IF(BG241*AY241&gt;AL241+AZ241,BG241*AY241-AL241-AZ241,0)</f>
        <v>26.02</v>
      </c>
      <c r="BI241" s="5">
        <f>IF(M241/1.6&lt;8,ROUND(M241/1.6,0),8)</f>
        <v>5</v>
      </c>
      <c r="BJ241" s="5">
        <f>(AH241+AP241+AZ241)*BA241+0.1*BH241</f>
        <v>38.00098851505074</v>
      </c>
      <c r="BK241" s="11">
        <v>1.4</v>
      </c>
      <c r="BL241" s="5">
        <f>M241*0.2</f>
        <v>1.6</v>
      </c>
      <c r="BM241" s="5">
        <f>ROUNDDOWN(M241/2.13,0)</f>
        <v>3</v>
      </c>
      <c r="BN241" s="12">
        <f>M241/4.26</f>
        <v>1.877934272300469</v>
      </c>
      <c r="BO241" s="5">
        <f>IF(M241&lt;8,1.22,IF(M241&lt;15.2,0.108333*M241+0.353,2))</f>
        <v>1.219664</v>
      </c>
      <c r="BP241" s="12">
        <f>IF(BK241&lt;BO241,1+0.3*(BO241-BK241)/M241,1)</f>
        <v>1</v>
      </c>
      <c r="BQ241" s="32"/>
      <c r="BR241" s="32"/>
      <c r="BS241" t="s" s="24">
        <v>154</v>
      </c>
      <c r="BT241" s="36"/>
      <c r="BU241" s="36"/>
      <c r="BV241" s="5">
        <f>IF(BQ241&lt;(M241/0.3048)^0.5,1,IF(BU241="x",1-BR241*0.02,IF(BT241="x",1-BR241*0.01,1)))</f>
        <v>1</v>
      </c>
      <c r="BW241" s="12">
        <f>IF(K241="x",MIN(1.315,1.28+U241*N241/BJ241/AR241/1100),IF(L241="x",1.28,MAX(1.245,1.28-U241*N241/BJ241/AR241/1100)))</f>
        <v>1.298824932661844</v>
      </c>
      <c r="BX241" s="41">
        <f>BW241*T241*BV241*BP241*N241^0.3*BJ241^0.4/V241^0.325</f>
        <v>1.01863422851524</v>
      </c>
      <c r="BY241" s="29"/>
      <c r="BZ241" s="29"/>
      <c r="CA241" t="s" s="19">
        <v>698</v>
      </c>
      <c r="CB241" t="s" s="19">
        <v>699</v>
      </c>
      <c r="CC241" t="s" s="19">
        <v>254</v>
      </c>
      <c r="CD241" t="s" s="19">
        <v>483</v>
      </c>
      <c r="CE241" s="3"/>
      <c r="CF241" s="3"/>
      <c r="CG241" t="s" s="30">
        <f>A241</f>
        <v>1512</v>
      </c>
    </row>
    <row r="242" ht="12.75" customHeight="1">
      <c r="A242" t="s" s="25">
        <v>1513</v>
      </c>
      <c r="B242" t="s" s="19">
        <v>1514</v>
      </c>
      <c r="C242" t="s" s="19">
        <v>1515</v>
      </c>
      <c r="D242" t="s" s="19">
        <v>1516</v>
      </c>
      <c r="E242" t="s" s="19">
        <v>1517</v>
      </c>
      <c r="F242" s="3"/>
      <c r="G242" t="s" s="19">
        <v>1518</v>
      </c>
      <c r="H242" s="32"/>
      <c r="I242" s="32"/>
      <c r="J242" s="3"/>
      <c r="K242" t="s" s="24">
        <v>154</v>
      </c>
      <c r="L242" s="36"/>
      <c r="M242" s="11">
        <v>9.65</v>
      </c>
      <c r="N242" s="5">
        <v>9.470000000000001</v>
      </c>
      <c r="O242" s="11">
        <v>7.15</v>
      </c>
      <c r="P242" s="11"/>
      <c r="Q242" t="s" s="24">
        <v>154</v>
      </c>
      <c r="R242" s="3"/>
      <c r="S242" s="36"/>
      <c r="T242" s="38">
        <f>IF(S242&gt;0,1.048,IF(R242&gt;0,1.048,IF(Q242&gt;0,1.036,0.907+1.55*(P242/N242)-4.449*(P242/N242)^2)))</f>
        <v>1.036</v>
      </c>
      <c r="U242" s="39">
        <v>1895</v>
      </c>
      <c r="V242" s="40">
        <f>IF(H242="x",75+U242,IF(M242&lt;6.66,150+U242,-1.7384*M242^2+92.38*M242-388+U242))</f>
        <v>2236.582846</v>
      </c>
      <c r="W242" s="5">
        <v>3.85</v>
      </c>
      <c r="X242" s="5">
        <v>3.35</v>
      </c>
      <c r="Y242" s="5">
        <v>2.73</v>
      </c>
      <c r="Z242" s="5">
        <v>1.8</v>
      </c>
      <c r="AA242" s="5">
        <v>0.145</v>
      </c>
      <c r="AB242" s="5">
        <v>0.12</v>
      </c>
      <c r="AC242" s="5">
        <v>11.02</v>
      </c>
      <c r="AD242" s="33"/>
      <c r="AE242" s="5">
        <f>IF(AD242=0,(W242+4*X242+2*Y242+4*Z242+AA242)*AC242/12+W242*AB242/1.5,AD242)</f>
        <v>27.90850833333333</v>
      </c>
      <c r="AF242" s="11"/>
      <c r="AG242" s="11">
        <v>0</v>
      </c>
      <c r="AH242" s="5">
        <f>IF(AC242=0,AE242+AF242*AG242/2,AE242+AC242*AG242/2)</f>
        <v>27.90850833333333</v>
      </c>
      <c r="AI242" s="5">
        <v>11.3</v>
      </c>
      <c r="AJ242" s="5">
        <v>2.93</v>
      </c>
      <c r="AK242" s="33"/>
      <c r="AL242" s="5">
        <f>IF(AK242=0,AI242*AJ242/2,AK242)</f>
        <v>16.5545</v>
      </c>
      <c r="AM242" t="s" s="19">
        <v>154</v>
      </c>
      <c r="AN242" s="5"/>
      <c r="AO242" s="5"/>
      <c r="AP242" s="5">
        <f>AL242+AI242*(AN242-AO242)/2</f>
        <v>16.5545</v>
      </c>
      <c r="AQ242" s="5">
        <f>0.1*(AE242+AL242)</f>
        <v>4.446300833333334</v>
      </c>
      <c r="AR242" s="11">
        <v>12.27</v>
      </c>
      <c r="AS242" s="11"/>
      <c r="AT242" s="11"/>
      <c r="AU242" s="11"/>
      <c r="AV242" s="33">
        <v>41.31</v>
      </c>
      <c r="AW242" s="5">
        <f>IF(AV242=0,AS242/6*(AT242+AU242*4),AV242)</f>
        <v>41.31</v>
      </c>
      <c r="AX242" s="11">
        <v>0.78</v>
      </c>
      <c r="AY242" s="5">
        <f>IF(AX242&lt;0.149*M242+0.329,1,AX242/(0.149*M242+0.329))</f>
        <v>1</v>
      </c>
      <c r="AZ242" s="5">
        <f>IF(AW242*AY242&gt;AL242,(AW242*AY242-AL242)/4,0)</f>
        <v>6.188875</v>
      </c>
      <c r="BA242" s="12">
        <f>0.401+0.1831*(2*AR242^2/(AH242+AP242+AZ242))-0.02016*(2*AR242^2/(AH242+AP242+AZ242))^2+0.0007472*(2*AR242^2/(AH242+AP242+AZ242))^3</f>
        <v>0.9340027330661911</v>
      </c>
      <c r="BB242" s="85"/>
      <c r="BC242" s="85"/>
      <c r="BD242" s="85"/>
      <c r="BE242" s="85"/>
      <c r="BF242" s="33"/>
      <c r="BG242" s="5">
        <f>IF(BF242=0,(BC242+BD242)*(BB242/12+BE242/3),BF242)</f>
        <v>0</v>
      </c>
      <c r="BH242" s="5">
        <f>IF(BG242*AY242&gt;AL242+AZ242,BG242*AY242-AL242-AZ242,0)</f>
        <v>0</v>
      </c>
      <c r="BI242" s="5">
        <f>IF(M242/1.6&lt;8,ROUND(M242/1.6,0),8)</f>
        <v>6</v>
      </c>
      <c r="BJ242" s="5">
        <f>(AH242+AP242+AZ242)*BA242+0.1*BH242</f>
        <v>47.30899746828319</v>
      </c>
      <c r="BK242" s="11">
        <v>1.53</v>
      </c>
      <c r="BL242" s="5">
        <f>M242*0.2</f>
        <v>1.93</v>
      </c>
      <c r="BM242" s="5">
        <f>ROUNDDOWN(M242/2.13,0)</f>
        <v>4</v>
      </c>
      <c r="BN242" s="12">
        <f>M242/4.26</f>
        <v>2.265258215962441</v>
      </c>
      <c r="BO242" s="5">
        <f>IF(M242&lt;8,1.22,IF(M242&lt;15.2,0.108333*M242+0.353,2))</f>
        <v>1.39841345</v>
      </c>
      <c r="BP242" s="12">
        <f>IF(BK242&lt;BO242,1+0.3*(BO242-BK242)/M242,1)</f>
        <v>1</v>
      </c>
      <c r="BQ242" s="32"/>
      <c r="BR242" s="32"/>
      <c r="BS242" t="s" s="24">
        <v>154</v>
      </c>
      <c r="BT242" s="36"/>
      <c r="BU242" s="36"/>
      <c r="BV242" s="5">
        <f>IF(BQ242&lt;(M242/0.3048)^0.5,1,IF(BU242="x",1-BR242*0.02,IF(BT242="x",1-BR242*0.01,1)))</f>
        <v>1</v>
      </c>
      <c r="BW242" s="12">
        <f>IF(K242="x",MIN(1.315,1.28+U242*N242/BJ242/AR242/1100),IF(L242="x",1.28,MAX(1.245,1.28-U242*N242/BJ242/AR242/1100)))</f>
        <v>1.308104651247457</v>
      </c>
      <c r="BX242" s="41">
        <f>BW242*T242*BV242*BP242*N242^0.3*BJ242^0.4/V242^0.325</f>
        <v>1.014541029794549</v>
      </c>
      <c r="BY242" s="3"/>
      <c r="BZ242" s="3"/>
      <c r="CA242" t="s" s="19">
        <v>253</v>
      </c>
      <c r="CB242" s="46">
        <v>36683</v>
      </c>
      <c r="CC242" t="s" s="19">
        <v>254</v>
      </c>
      <c r="CD242" s="3"/>
      <c r="CE242" s="3"/>
      <c r="CF242" s="3"/>
      <c r="CG242" t="s" s="30">
        <f>A242</f>
        <v>1519</v>
      </c>
    </row>
    <row r="243" ht="12.75" customHeight="1">
      <c r="A243" t="s" s="25">
        <v>1520</v>
      </c>
      <c r="B243" t="s" s="19">
        <v>1521</v>
      </c>
      <c r="C243" t="s" s="19">
        <v>344</v>
      </c>
      <c r="D243" t="s" s="19">
        <v>345</v>
      </c>
      <c r="E243" t="s" s="19">
        <v>1522</v>
      </c>
      <c r="F243" t="s" s="19">
        <v>1523</v>
      </c>
      <c r="G243" t="s" s="19">
        <v>1524</v>
      </c>
      <c r="H243" s="32"/>
      <c r="I243" s="32"/>
      <c r="J243" s="36"/>
      <c r="K243" t="s" s="24">
        <v>154</v>
      </c>
      <c r="L243" s="36"/>
      <c r="M243" s="11">
        <v>8.289999999999999</v>
      </c>
      <c r="N243" s="5">
        <v>8.19</v>
      </c>
      <c r="O243" s="11">
        <v>5.82</v>
      </c>
      <c r="P243" s="11"/>
      <c r="Q243" s="37"/>
      <c r="R243" s="43">
        <v>1.5</v>
      </c>
      <c r="S243" s="36"/>
      <c r="T243" s="38">
        <f>IF(S243&gt;0,1.048,IF(R243&gt;0,1.048,IF(Q243&gt;0,1.036,0.907+1.55*(P243/N243)-4.449*(P243/N243)^2)))</f>
        <v>1.048</v>
      </c>
      <c r="U243" s="39">
        <v>1625</v>
      </c>
      <c r="V243" s="40">
        <f>IF(H243="x",75+U243,IF(M243&lt;6.66,150+U243,-1.7384*M243^2+92.38*M243-388+U243))</f>
        <v>1883.36022456</v>
      </c>
      <c r="W243" s="5">
        <v>3.89</v>
      </c>
      <c r="X243" s="5">
        <v>3.62</v>
      </c>
      <c r="Y243" s="5">
        <v>3.2</v>
      </c>
      <c r="Z243" s="5">
        <v>2.39</v>
      </c>
      <c r="AA243" s="5">
        <v>0.83</v>
      </c>
      <c r="AB243" s="5"/>
      <c r="AC243" s="5">
        <v>9.91</v>
      </c>
      <c r="AD243" s="33"/>
      <c r="AE243" s="5">
        <f>IF(AD243=0,(W243+4*X243+2*Y243+4*Z243+AA243)*AC243/12+W243*AB243/1.5,AD243)</f>
        <v>29.0363</v>
      </c>
      <c r="AF243" s="11">
        <v>11.28</v>
      </c>
      <c r="AG243" s="11"/>
      <c r="AH243" s="5">
        <f>IF(AC243=0,AE243+AF243*AG243/2,AE243+AC243*AG243/2)</f>
        <v>29.0363</v>
      </c>
      <c r="AI243" s="5">
        <v>9.59</v>
      </c>
      <c r="AJ243" s="5">
        <v>3.1</v>
      </c>
      <c r="AK243" s="33"/>
      <c r="AL243" s="5">
        <f>IF(AK243=0,AI243*AJ243/2,AK243)</f>
        <v>14.8645</v>
      </c>
      <c r="AM243" s="3"/>
      <c r="AN243" s="5"/>
      <c r="AO243" s="5">
        <v>0.1</v>
      </c>
      <c r="AP243" s="5">
        <f>AL243+AI243*(AN243-AO243)/2</f>
        <v>14.385</v>
      </c>
      <c r="AQ243" s="5">
        <f>0.1*(AE243+AL243)</f>
        <v>4.39008</v>
      </c>
      <c r="AR243" s="11">
        <v>11.28</v>
      </c>
      <c r="AS243" s="11"/>
      <c r="AT243" s="11"/>
      <c r="AU243" s="11"/>
      <c r="AV243" s="33">
        <v>31.3</v>
      </c>
      <c r="AW243" s="5">
        <f>IF(AV243=0,AS243/6*(AT243+AU243*4),AV243)</f>
        <v>31.3</v>
      </c>
      <c r="AX243" s="11">
        <v>1.8</v>
      </c>
      <c r="AY243" s="5">
        <f>IF(AX243&lt;0.149*M243+0.329,1,AX243/(0.149*M243+0.329))</f>
        <v>1.150740629455124</v>
      </c>
      <c r="AZ243" s="5">
        <f>IF(AW243*AY243&gt;AL243,(AW243*AY243-AL243)/4,0)</f>
        <v>5.288420425486349</v>
      </c>
      <c r="BA243" s="12">
        <f>0.401+0.1831*(2*AR243^2/(AH243+AP243+AZ243))-0.02016*(2*AR243^2/(AH243+AP243+AZ243))^2+0.0007472*(2*AR243^2/(AH243+AP243+AZ243))^3</f>
        <v>0.9138800750416581</v>
      </c>
      <c r="BB243" s="5">
        <v>8.07</v>
      </c>
      <c r="BC243" s="5">
        <v>12.07</v>
      </c>
      <c r="BD243" s="5">
        <v>10.6</v>
      </c>
      <c r="BE243" s="5">
        <v>6.99</v>
      </c>
      <c r="BF243" s="33"/>
      <c r="BG243" s="5">
        <f>IF(BF243=0,(BC243+BD243)*(BB243/12+BE243/3),BF243)</f>
        <v>68.066675</v>
      </c>
      <c r="BH243" s="5">
        <f>IF(BG243*AY243&gt;AL243+AZ243,BG243*AY243-AL243-AZ243,0)</f>
        <v>58.17416800893103</v>
      </c>
      <c r="BI243" s="5">
        <f>IF(M243/1.6&lt;8,ROUND(M243/1.6,0),8)</f>
        <v>5</v>
      </c>
      <c r="BJ243" s="5">
        <f>(AH243+AP243+AZ243)*BA243+0.1*BH243</f>
        <v>50.33225975859476</v>
      </c>
      <c r="BK243" s="11">
        <v>1.65</v>
      </c>
      <c r="BL243" s="5">
        <f>M243*0.2</f>
        <v>1.658</v>
      </c>
      <c r="BM243" s="5">
        <f>ROUNDDOWN(M243/2.13,0)</f>
        <v>3</v>
      </c>
      <c r="BN243" s="12">
        <f>M243/4.26</f>
        <v>1.946009389671362</v>
      </c>
      <c r="BO243" s="5">
        <f>IF(M243&lt;8,1.22,IF(M243&lt;15.2,0.108333*M243+0.353,2))</f>
        <v>1.25108057</v>
      </c>
      <c r="BP243" s="12">
        <f>IF(BK243&lt;BO243,1+0.3*(BO243-BK243)/M243,1)</f>
        <v>1</v>
      </c>
      <c r="BQ243" s="39">
        <v>7</v>
      </c>
      <c r="BR243" s="39">
        <v>1</v>
      </c>
      <c r="BS243" t="s" s="24">
        <v>154</v>
      </c>
      <c r="BT243" s="36"/>
      <c r="BU243" s="36"/>
      <c r="BV243" s="5">
        <f>IF(BQ243&lt;(M243/0.3048)^0.5,1,IF(BU243="x",1-BR243*0.02,IF(BT243="x",1-BR243*0.01,1)))</f>
        <v>1</v>
      </c>
      <c r="BW243" s="12">
        <f>IF(K243="x",MIN(1.315,1.28+U243*N243/BJ243/AR243/1100),IF(L243="x",1.28,MAX(1.245,1.28-U243*N243/BJ243/AR243/1100)))</f>
        <v>1.301310274943908</v>
      </c>
      <c r="BX243" s="41">
        <f>BW243*T243*BV243*BP243*N243^0.3*BJ243^0.4/V243^0.325</f>
        <v>1.059528225604062</v>
      </c>
      <c r="BY243" s="29"/>
      <c r="BZ243" s="29"/>
      <c r="CA243" t="s" s="19">
        <v>188</v>
      </c>
      <c r="CB243" t="s" s="19">
        <v>1525</v>
      </c>
      <c r="CC243" t="s" s="19">
        <v>164</v>
      </c>
      <c r="CD243" t="s" s="19">
        <v>1526</v>
      </c>
      <c r="CE243" s="3"/>
      <c r="CF243" s="3"/>
      <c r="CG243" t="s" s="30">
        <f>A243</f>
        <v>1527</v>
      </c>
    </row>
    <row r="244" ht="12.75" customHeight="1">
      <c r="A244" t="s" s="25">
        <v>1528</v>
      </c>
      <c r="B244" t="s" s="19">
        <v>574</v>
      </c>
      <c r="C244" t="s" s="19">
        <v>1168</v>
      </c>
      <c r="D244" s="3"/>
      <c r="E244" s="3"/>
      <c r="F244" s="3"/>
      <c r="G244" s="3"/>
      <c r="H244" s="32"/>
      <c r="I244" s="32"/>
      <c r="J244" s="36"/>
      <c r="K244" t="s" s="24">
        <v>154</v>
      </c>
      <c r="L244" s="36"/>
      <c r="M244" s="11">
        <v>10.46</v>
      </c>
      <c r="N244" s="5">
        <v>10.46</v>
      </c>
      <c r="O244" s="11"/>
      <c r="P244" s="11"/>
      <c r="Q244" s="37"/>
      <c r="R244" t="s" s="24">
        <v>161</v>
      </c>
      <c r="S244" s="36"/>
      <c r="T244" s="38">
        <f>IF(S244&gt;0,1.048,IF(R244&gt;0,1.048,IF(Q244&gt;0,1.036,0.907+1.55*(P244/N244)-4.449*(P244/N244)^2)))</f>
        <v>1.048</v>
      </c>
      <c r="U244" s="39">
        <v>1757</v>
      </c>
      <c r="V244" s="40">
        <f>IF(H244="x",75+U244,IF(M244&lt;6.66,150+U244,-1.7384*M244^2+92.38*M244-388+U244))</f>
        <v>2145.09367456</v>
      </c>
      <c r="W244" s="5"/>
      <c r="X244" s="5"/>
      <c r="Y244" s="5"/>
      <c r="Z244" s="5"/>
      <c r="AA244" s="5"/>
      <c r="AB244" s="5"/>
      <c r="AC244" s="5">
        <v>13.93</v>
      </c>
      <c r="AD244" s="33">
        <v>44.61</v>
      </c>
      <c r="AE244" s="5">
        <f>IF(AD244=0,(W244+4*X244+2*Y244+4*Z244+AA244)*AC244/12+W244*AB244/1.5,AD244)</f>
        <v>44.61</v>
      </c>
      <c r="AF244" s="11">
        <v>14.7</v>
      </c>
      <c r="AG244" s="11"/>
      <c r="AH244" s="5">
        <f>IF(AC244=0,AE244+AF244*AG244/2,AE244+AC244*AG244/2)</f>
        <v>44.61</v>
      </c>
      <c r="AI244" s="3"/>
      <c r="AJ244" s="3"/>
      <c r="AK244" s="33">
        <v>16.9</v>
      </c>
      <c r="AL244" s="5">
        <f>IF(AK244=0,AI244*AJ244/2,AK244)</f>
        <v>16.9</v>
      </c>
      <c r="AM244" s="3"/>
      <c r="AN244" s="5"/>
      <c r="AO244" s="5"/>
      <c r="AP244" s="5">
        <f>AL244+AI244*(AN244-AO244)/2</f>
        <v>16.9</v>
      </c>
      <c r="AQ244" s="5">
        <f>0.1*(AE244+AL244)</f>
        <v>6.151</v>
      </c>
      <c r="AR244" s="11">
        <v>14.9</v>
      </c>
      <c r="AS244" s="11"/>
      <c r="AT244" s="11"/>
      <c r="AU244" s="11"/>
      <c r="AV244" s="33">
        <v>56.6</v>
      </c>
      <c r="AW244" s="5">
        <f>IF(AV244=0,AS244/6*(AT244+AU244*4),AV244)</f>
        <v>56.6</v>
      </c>
      <c r="AX244" s="11">
        <v>1.5</v>
      </c>
      <c r="AY244" s="5">
        <f>IF(AX244&lt;0.149*M244+0.329,1,AX244/(0.149*M244+0.329))</f>
        <v>1</v>
      </c>
      <c r="AZ244" s="5">
        <f>IF(AW244*AY244&gt;AL244,(AW244*AY244-AL244)/4,0)</f>
        <v>9.925000000000001</v>
      </c>
      <c r="BA244" s="12">
        <f>0.401+0.1831*(2*AR244^2/(AH244+AP244+AZ244))-0.02016*(2*AR244^2/(AH244+AP244+AZ244))^2+0.0007472*(2*AR244^2/(AH244+AP244+AZ244))^3</f>
        <v>0.9396498785909138</v>
      </c>
      <c r="BB244" s="3"/>
      <c r="BC244" s="3"/>
      <c r="BD244" s="3"/>
      <c r="BE244" s="3"/>
      <c r="BF244" s="33">
        <v>76.20999999999999</v>
      </c>
      <c r="BG244" s="5">
        <f>IF(BF244=0,(BC244+BD244)*(BB244/12+BE244/3),BF244)</f>
        <v>76.20999999999999</v>
      </c>
      <c r="BH244" s="5">
        <f>IF(BG244*AY244&gt;AL244+AZ244,BG244*AY244-AL244-AZ244,0)</f>
        <v>49.38499999999999</v>
      </c>
      <c r="BI244" s="5">
        <f>IF(M244/1.6&lt;8,ROUND(M244/1.6,0),8)</f>
        <v>7</v>
      </c>
      <c r="BJ244" s="5">
        <f>(AH244+AP244+AZ244)*BA244+0.1*BH244</f>
        <v>72.06238907714193</v>
      </c>
      <c r="BK244" s="11">
        <v>1.38</v>
      </c>
      <c r="BL244" s="5">
        <f>M244*0.2</f>
        <v>2.092</v>
      </c>
      <c r="BM244" s="5">
        <f>ROUNDDOWN(M244/2.13,0)</f>
        <v>4</v>
      </c>
      <c r="BN244" s="12">
        <f>M244/4.26</f>
        <v>2.455399061032864</v>
      </c>
      <c r="BO244" s="5">
        <f>IF(M244&lt;8,1.22,IF(M244&lt;15.2,0.108333*M244+0.353,2))</f>
        <v>1.48616318</v>
      </c>
      <c r="BP244" s="12">
        <f>IF(BK244&lt;BO244,1+0.3*(BO244-BK244)/M244,1)</f>
        <v>1.003044833078394</v>
      </c>
      <c r="BQ244" s="32"/>
      <c r="BR244" s="39">
        <v>0</v>
      </c>
      <c r="BS244" t="s" s="24">
        <v>154</v>
      </c>
      <c r="BT244" s="36"/>
      <c r="BU244" s="36"/>
      <c r="BV244" s="5">
        <f>IF(BQ244&lt;(M244/0.3048)^0.5,1,IF(BU244="x",1-BR244*0.02,IF(BT244="x",1-BR244*0.01,1)))</f>
        <v>1</v>
      </c>
      <c r="BW244" s="12">
        <f>IF(K244="x",MIN(1.315,1.28+U244*N244/BJ244/AR244/1100),IF(L244="x",1.28,MAX(1.245,1.28-U244*N244/BJ244/AR244/1100)))</f>
        <v>1.295560223700709</v>
      </c>
      <c r="BX244" s="41">
        <f>BW244*T244*BV244*BP244*N244^0.3*BJ244^0.4/V244^0.325</f>
        <v>1.259975690774274</v>
      </c>
      <c r="BY244" s="29"/>
      <c r="BZ244" s="29"/>
      <c r="CA244" t="s" s="19">
        <v>698</v>
      </c>
      <c r="CB244" t="s" s="19">
        <v>1529</v>
      </c>
      <c r="CC244" t="s" s="19">
        <v>254</v>
      </c>
      <c r="CD244" t="s" s="19">
        <v>483</v>
      </c>
      <c r="CE244" s="3"/>
      <c r="CF244" s="3"/>
      <c r="CG244" t="s" s="30">
        <f>A244</f>
        <v>1530</v>
      </c>
    </row>
    <row r="245" ht="12.75" customHeight="1">
      <c r="A245" t="s" s="25">
        <v>1531</v>
      </c>
      <c r="B245" t="s" s="19">
        <v>1532</v>
      </c>
      <c r="C245" t="s" s="19">
        <v>1533</v>
      </c>
      <c r="D245" t="s" s="19">
        <v>1534</v>
      </c>
      <c r="E245" t="s" s="19">
        <v>1535</v>
      </c>
      <c r="F245" t="s" s="19">
        <v>1536</v>
      </c>
      <c r="G245" t="s" s="19">
        <v>1537</v>
      </c>
      <c r="H245" s="32"/>
      <c r="I245" s="32"/>
      <c r="J245" t="s" s="24">
        <v>154</v>
      </c>
      <c r="K245" s="36"/>
      <c r="L245" s="36"/>
      <c r="M245" s="11">
        <v>13.74</v>
      </c>
      <c r="N245" s="5">
        <v>13.7</v>
      </c>
      <c r="O245" s="11">
        <v>8.4</v>
      </c>
      <c r="P245" s="11"/>
      <c r="Q245" s="37"/>
      <c r="R245" s="43">
        <v>2.75</v>
      </c>
      <c r="S245" s="36"/>
      <c r="T245" s="38">
        <f>IF(S245&gt;0,1.048,IF(R245&gt;0,1.048,IF(Q245&gt;0,1.036,0.907+1.55*(P245/N245)-4.449*(P245/N245)^2)))</f>
        <v>1.048</v>
      </c>
      <c r="U245" s="39">
        <v>6590</v>
      </c>
      <c r="V245" s="40">
        <f>IF(H245="x",75+U245,IF(M245&lt;6.66,150+U245,-1.7384*M245^2+92.38*M245-388+U245))</f>
        <v>7143.11283616</v>
      </c>
      <c r="W245" s="5"/>
      <c r="X245" s="5"/>
      <c r="Y245" s="5"/>
      <c r="Z245" s="5"/>
      <c r="AA245" s="5"/>
      <c r="AB245" s="5"/>
      <c r="AC245" s="5">
        <v>19.75</v>
      </c>
      <c r="AD245" s="33">
        <v>94.93000000000001</v>
      </c>
      <c r="AE245" s="5">
        <f>IF(AD245=0,(W245+4*X245+2*Y245+4*Z245+AA245)*AC245/12+W245*AB245/1.5,AD245)</f>
        <v>94.93000000000001</v>
      </c>
      <c r="AF245" s="11">
        <v>21.48</v>
      </c>
      <c r="AG245" s="11">
        <v>1.08</v>
      </c>
      <c r="AH245" s="5">
        <f>IF(AC245=0,AE245+AF245*AG245/2,AE245+AC245*AG245/2)</f>
        <v>105.595</v>
      </c>
      <c r="AI245" s="5">
        <v>5.61</v>
      </c>
      <c r="AJ245" s="3"/>
      <c r="AK245" s="33">
        <v>45.4</v>
      </c>
      <c r="AL245" s="5">
        <f>IF(AK245=0,AI245*AJ245/2,AK245)</f>
        <v>45.4</v>
      </c>
      <c r="AM245" t="s" s="19">
        <v>154</v>
      </c>
      <c r="AN245" s="5"/>
      <c r="AO245" s="5"/>
      <c r="AP245" s="5">
        <f>AL245+AI245*(AN245-AO245)/2</f>
        <v>45.4</v>
      </c>
      <c r="AQ245" s="5">
        <f>0.1*(AE245+AL245)</f>
        <v>14.033</v>
      </c>
      <c r="AR245" s="11">
        <v>21.7</v>
      </c>
      <c r="AS245" s="11"/>
      <c r="AT245" s="11"/>
      <c r="AU245" s="11"/>
      <c r="AV245" s="33">
        <v>121.59</v>
      </c>
      <c r="AW245" s="5">
        <f>IF(AV245=0,AS245/6*(AT245+AU245*4),AV245)</f>
        <v>121.59</v>
      </c>
      <c r="AX245" s="11">
        <v>0.43</v>
      </c>
      <c r="AY245" s="5">
        <f>IF(AX245&lt;0.149*M245+0.329,1,AX245/(0.149*M245+0.329))</f>
        <v>1</v>
      </c>
      <c r="AZ245" s="5">
        <f>IF(AW245*AY245&gt;AL245,(AW245*AY245-AL245)/4,0)</f>
        <v>19.0475</v>
      </c>
      <c r="BA245" s="12">
        <f>0.401+0.1831*(2*AR245^2/(AH245+AP245+AZ245))-0.02016*(2*AR245^2/(AH245+AP245+AZ245))^2+0.0007472*(2*AR245^2/(AH245+AP245+AZ245))^3</f>
        <v>0.9236359833957827</v>
      </c>
      <c r="BB245" s="3"/>
      <c r="BC245" s="3"/>
      <c r="BD245" s="3"/>
      <c r="BE245" s="3"/>
      <c r="BF245" s="33">
        <v>141.45</v>
      </c>
      <c r="BG245" s="5">
        <f>IF(BF245=0,(BC245+BD245)*(BB245/12+BE245/3),BF245)</f>
        <v>141.45</v>
      </c>
      <c r="BH245" s="5">
        <f>IF(BG245*AY245&gt;AL245+AZ245,BG245*AY245-AL245-AZ245,0)</f>
        <v>77.00249999999998</v>
      </c>
      <c r="BI245" s="42">
        <f>IF(M245/1.6&lt;8,ROUND(M245/1.6,0),8)</f>
        <v>8</v>
      </c>
      <c r="BJ245" s="5">
        <f>(AH245+AP245+AZ245)*BA245+0.1*BH245</f>
        <v>164.7576217065774</v>
      </c>
      <c r="BK245" s="11">
        <v>1.95</v>
      </c>
      <c r="BL245" s="5">
        <f>M245*0.2</f>
        <v>2.748</v>
      </c>
      <c r="BM245" s="5">
        <f>ROUNDDOWN(M245/2.13,0)</f>
        <v>6</v>
      </c>
      <c r="BN245" s="12">
        <f>M245/4.26</f>
        <v>3.225352112676056</v>
      </c>
      <c r="BO245" s="5">
        <f>IF(M245&lt;8,1.22,IF(M245&lt;15.2,0.108333*M245+0.353,2))</f>
        <v>1.84149542</v>
      </c>
      <c r="BP245" s="12">
        <f>IF(BK245&lt;BO245,1+0.3*(BO245-BK245)/M245,1)</f>
        <v>1</v>
      </c>
      <c r="BQ245" s="39">
        <v>8.5</v>
      </c>
      <c r="BR245" s="39">
        <v>2</v>
      </c>
      <c r="BS245" s="36"/>
      <c r="BT245" t="s" s="24">
        <v>154</v>
      </c>
      <c r="BU245" s="36"/>
      <c r="BV245" s="5">
        <f>IF(BQ245&lt;(M245/0.3048)^0.5,1,IF(BU245="x",1-BR245*0.02,IF(BT245="x",1-BR245*0.01,1)))</f>
        <v>0.98</v>
      </c>
      <c r="BW245" s="12">
        <f>IF(K245="x",MIN(1.315,1.28+U245*N245/BJ245/AR245/1100),IF(L245="x",1.28,MAX(1.245,1.28-U245*N245/BJ245/AR245/1100)))</f>
        <v>1.257043374551453</v>
      </c>
      <c r="BX245" s="41">
        <f>BW245*T245*BV245*BP245*N245^0.3*BJ245^0.4/V245^0.325</f>
        <v>1.21949087960769</v>
      </c>
      <c r="BY245" s="29"/>
      <c r="BZ245" s="29"/>
      <c r="CA245" t="s" s="19">
        <v>188</v>
      </c>
      <c r="CB245" t="s" s="19">
        <v>598</v>
      </c>
      <c r="CC245" t="s" s="19">
        <v>786</v>
      </c>
      <c r="CD245" s="3"/>
      <c r="CE245" s="3"/>
      <c r="CF245" s="3"/>
      <c r="CG245" t="s" s="30">
        <f>A245</f>
        <v>1538</v>
      </c>
    </row>
    <row r="246" ht="12.75" customHeight="1">
      <c r="A246" t="s" s="25">
        <v>1539</v>
      </c>
      <c r="B246" t="s" s="19">
        <v>1540</v>
      </c>
      <c r="C246" t="s" s="19">
        <v>158</v>
      </c>
      <c r="D246" t="s" s="19">
        <v>159</v>
      </c>
      <c r="E246" t="s" s="19">
        <v>1541</v>
      </c>
      <c r="F246" s="3"/>
      <c r="G246" s="3"/>
      <c r="H246" s="32"/>
      <c r="I246" s="32"/>
      <c r="J246" t="s" s="24">
        <v>154</v>
      </c>
      <c r="K246" s="36"/>
      <c r="L246" s="36"/>
      <c r="M246" s="11">
        <v>13</v>
      </c>
      <c r="N246" s="5">
        <v>13</v>
      </c>
      <c r="O246" s="11">
        <v>6.9</v>
      </c>
      <c r="P246" s="11"/>
      <c r="Q246" s="37"/>
      <c r="R246" t="s" s="24">
        <v>1542</v>
      </c>
      <c r="S246" s="36"/>
      <c r="T246" s="38">
        <f>IF(S246&gt;0,1.048,IF(R246&gt;0,1.048,IF(Q246&gt;0,1.036,0.907+1.55*(P246/N246)-4.449*(P246/N246)^2)))</f>
        <v>1.048</v>
      </c>
      <c r="U246" s="39">
        <v>4500</v>
      </c>
      <c r="V246" s="40">
        <f>IF(H246="x",75+U246,IF(M246&lt;6.66,150+U246,-1.7384*M246^2+92.38*M246-388+U246))</f>
        <v>5019.1504</v>
      </c>
      <c r="W246" s="5"/>
      <c r="X246" s="5"/>
      <c r="Y246" s="5"/>
      <c r="Z246" s="5"/>
      <c r="AA246" s="5"/>
      <c r="AB246" s="5"/>
      <c r="AC246" s="5">
        <v>13.5</v>
      </c>
      <c r="AD246" s="33">
        <v>48.5</v>
      </c>
      <c r="AE246" s="5">
        <f>IF(AD246=0,(W246+4*X246+2*Y246+4*Z246+AA246)*AC246/12+W246*AB246/1.5,AD246)</f>
        <v>48.5</v>
      </c>
      <c r="AF246" s="11">
        <v>15</v>
      </c>
      <c r="AG246" s="11"/>
      <c r="AH246" s="5">
        <f>IF(AC246=0,AE246+AF246*AG246/2,AE246+AC246*AG246/2)</f>
        <v>48.5</v>
      </c>
      <c r="AI246" s="3"/>
      <c r="AJ246" s="3"/>
      <c r="AK246" s="33">
        <v>38</v>
      </c>
      <c r="AL246" s="5">
        <f>IF(AK246=0,AI246*AJ246/2,AK246)</f>
        <v>38</v>
      </c>
      <c r="AM246" s="3"/>
      <c r="AN246" s="5"/>
      <c r="AO246" s="5"/>
      <c r="AP246" s="5">
        <f>AL246+AI246*(AN246-AO246)/2</f>
        <v>38</v>
      </c>
      <c r="AQ246" s="5">
        <f>0.1*(AE246+AL246)</f>
        <v>8.65</v>
      </c>
      <c r="AR246" s="11">
        <v>15</v>
      </c>
      <c r="AS246" s="11"/>
      <c r="AT246" s="11"/>
      <c r="AU246" s="11"/>
      <c r="AV246" s="33"/>
      <c r="AW246" s="5">
        <f>IF(AV246=0,AS246/6*(AT246+AU246*4),AV246)</f>
        <v>0</v>
      </c>
      <c r="AX246" s="11">
        <v>0.1</v>
      </c>
      <c r="AY246" s="5">
        <f>IF(AX246&lt;0.149*M246+0.329,1,AX246/(0.149*M246+0.329))</f>
        <v>1</v>
      </c>
      <c r="AZ246" s="5">
        <f>IF(AW246*AY246&gt;AL246,(AW246*AY246-AL246)/4,0)</f>
        <v>0</v>
      </c>
      <c r="BA246" s="12">
        <f>0.401+0.1831*(2*AR246^2/(AH246+AP246+AZ246))-0.02016*(2*AR246^2/(AH246+AP246+AZ246))^2+0.0007472*(2*AR246^2/(AH246+AP246+AZ246))^3</f>
        <v>0.9131345778457958</v>
      </c>
      <c r="BB246" s="3"/>
      <c r="BC246" s="3"/>
      <c r="BD246" s="3"/>
      <c r="BE246" s="3"/>
      <c r="BF246" s="33">
        <v>125</v>
      </c>
      <c r="BG246" s="5">
        <f>IF(BF246=0,(BC246+BD246)*(BB246/12+BE246/3),BF246)</f>
        <v>125</v>
      </c>
      <c r="BH246" s="5">
        <f>IF(BG246*AY246&gt;AL246+AZ246,BG246*AY246-AL246-AZ246,0)</f>
        <v>87</v>
      </c>
      <c r="BI246" s="42">
        <f>IF(M246/1.6&lt;8,ROUND(M246/1.6,0),8)</f>
        <v>8</v>
      </c>
      <c r="BJ246" s="5">
        <f>(AH246+AP246+AZ246)*BA246+0.1*BH246</f>
        <v>87.68614098366133</v>
      </c>
      <c r="BK246" s="11">
        <v>1.8</v>
      </c>
      <c r="BL246" s="5">
        <f>M246*0.2</f>
        <v>2.6</v>
      </c>
      <c r="BM246" s="5">
        <f>ROUNDDOWN(M246/2.13,0)</f>
        <v>6</v>
      </c>
      <c r="BN246" s="12">
        <f>M246/4.26</f>
        <v>3.051643192488263</v>
      </c>
      <c r="BO246" s="5">
        <f>IF(M246&lt;8,1.22,IF(M246&lt;15.2,0.108333*M246+0.353,2))</f>
        <v>1.761329</v>
      </c>
      <c r="BP246" s="12">
        <f>IF(BK246&lt;BO246,1+0.3*(BO246-BK246)/M246,1)</f>
        <v>1</v>
      </c>
      <c r="BQ246" s="32"/>
      <c r="BR246" s="32"/>
      <c r="BS246" t="s" s="24">
        <v>154</v>
      </c>
      <c r="BT246" s="36"/>
      <c r="BU246" s="36"/>
      <c r="BV246" s="5">
        <f>IF(BQ246&lt;(M246/0.3048)^0.5,1,IF(BU246="x",1-BR246*0.02,IF(BT246="x",1-BR246*0.01,1)))</f>
        <v>1</v>
      </c>
      <c r="BW246" s="12">
        <f>IF(K246="x",MIN(1.315,1.28+U246*N246/BJ246/AR246/1100),IF(L246="x",1.28,MAX(1.245,1.28-U246*N246/BJ246/AR246/1100)))</f>
        <v>1.245</v>
      </c>
      <c r="BX246" s="41">
        <f>BW246*T246*BV246*BP246*N246^0.3*BJ246^0.4/V246^0.325</f>
        <v>1.057258546774837</v>
      </c>
      <c r="BY246" s="29"/>
      <c r="BZ246" s="29"/>
      <c r="CA246" t="s" s="19">
        <v>222</v>
      </c>
      <c r="CB246" t="s" s="19">
        <v>223</v>
      </c>
      <c r="CC246" t="s" s="19">
        <v>224</v>
      </c>
      <c r="CD246" s="3"/>
      <c r="CE246" s="3"/>
      <c r="CF246" s="3"/>
      <c r="CG246" t="s" s="30">
        <f>A246</f>
        <v>1543</v>
      </c>
    </row>
    <row r="247" ht="12.75" customHeight="1">
      <c r="A247" t="s" s="25">
        <v>1544</v>
      </c>
      <c r="B247" t="s" s="19">
        <v>721</v>
      </c>
      <c r="C247" t="s" s="19">
        <v>709</v>
      </c>
      <c r="D247" t="s" s="19">
        <v>710</v>
      </c>
      <c r="E247" t="s" s="19">
        <v>1545</v>
      </c>
      <c r="F247" s="3"/>
      <c r="G247" s="3"/>
      <c r="H247" s="32"/>
      <c r="I247" s="32"/>
      <c r="J247" s="36"/>
      <c r="K247" t="s" s="24">
        <v>154</v>
      </c>
      <c r="L247" s="36"/>
      <c r="M247" s="11">
        <v>7.99</v>
      </c>
      <c r="N247" s="5">
        <v>7.99</v>
      </c>
      <c r="O247" s="11"/>
      <c r="P247" s="11"/>
      <c r="Q247" s="37"/>
      <c r="R247" t="s" s="24">
        <v>161</v>
      </c>
      <c r="S247" s="36"/>
      <c r="T247" s="38">
        <f>IF(S247&gt;0,1.048,IF(R247&gt;0,1.048,IF(Q247&gt;0,1.036,0.907+1.55*(P247/N247)-4.449*(P247/N247)^2)))</f>
        <v>1.048</v>
      </c>
      <c r="U247" s="39">
        <v>1800</v>
      </c>
      <c r="V247" s="40">
        <f>IF(H247="x",75+U247,IF(M247&lt;6.66,150+U247,-1.7384*M247^2+92.38*M247-388+U247))</f>
        <v>2039.13657016</v>
      </c>
      <c r="W247" s="5"/>
      <c r="X247" s="5"/>
      <c r="Y247" s="5"/>
      <c r="Z247" s="5"/>
      <c r="AA247" s="5"/>
      <c r="AB247" s="5"/>
      <c r="AC247" s="5"/>
      <c r="AD247" s="33">
        <v>37.5</v>
      </c>
      <c r="AE247" s="5">
        <f>IF(AD247=0,(W247+4*X247+2*Y247+4*Z247+AA247)*AC247/12+W247*AB247/1.5,AD247)</f>
        <v>37.5</v>
      </c>
      <c r="AF247" s="11">
        <v>12.5</v>
      </c>
      <c r="AG247" s="11"/>
      <c r="AH247" s="5">
        <f>IF(AC247=0,AE247+AF247*AG247/2,AE247+AC247*AG247/2)</f>
        <v>37.5</v>
      </c>
      <c r="AI247" s="3"/>
      <c r="AJ247" s="3"/>
      <c r="AK247" s="33">
        <v>13</v>
      </c>
      <c r="AL247" s="5">
        <f>IF(AK247=0,AI247*AJ247/2,AK247)</f>
        <v>13</v>
      </c>
      <c r="AM247" s="3"/>
      <c r="AN247" s="5"/>
      <c r="AO247" s="5"/>
      <c r="AP247" s="5">
        <f>AL247+AI247*(AN247-AO247)/2</f>
        <v>13</v>
      </c>
      <c r="AQ247" s="5">
        <f>0.1*(AE247+AL247)</f>
        <v>5.050000000000001</v>
      </c>
      <c r="AR247" s="11">
        <v>13</v>
      </c>
      <c r="AS247" s="11"/>
      <c r="AT247" s="11"/>
      <c r="AU247" s="11"/>
      <c r="AV247" s="33">
        <v>38</v>
      </c>
      <c r="AW247" s="5">
        <f>IF(AV247=0,AS247/6*(AT247+AU247*4),AV247)</f>
        <v>38</v>
      </c>
      <c r="AX247" s="11">
        <v>1</v>
      </c>
      <c r="AY247" s="5">
        <f>IF(AX247&lt;0.149*M247+0.329,1,AX247/(0.149*M247+0.329))</f>
        <v>1</v>
      </c>
      <c r="AZ247" s="5">
        <f>IF(AW247*AY247&gt;AL247,(AW247*AY247-AL247)/4,0)</f>
        <v>6.25</v>
      </c>
      <c r="BA247" s="12">
        <f>0.401+0.1831*(2*AR247^2/(AH247+AP247+AZ247))-0.02016*(2*AR247^2/(AH247+AP247+AZ247))^2+0.0007472*(2*AR247^2/(AH247+AP247+AZ247))^3</f>
        <v>0.9342583426259008</v>
      </c>
      <c r="BB247" s="3"/>
      <c r="BC247" s="3"/>
      <c r="BD247" s="3"/>
      <c r="BE247" s="3"/>
      <c r="BF247" s="33"/>
      <c r="BG247" s="5">
        <f>IF(BF247=0,(BC247+BD247)*(BB247/12+BE247/3),BF247)</f>
        <v>0</v>
      </c>
      <c r="BH247" s="5">
        <f>IF(BG247*AY247&gt;AL247+AZ247,BG247*AY247-AL247-AZ247,0)</f>
        <v>0</v>
      </c>
      <c r="BI247" s="5">
        <f>IF(M247/1.6&lt;8,ROUND(M247/1.6,0),8)</f>
        <v>5</v>
      </c>
      <c r="BJ247" s="5">
        <f>(AH247+AP247+AZ247)*BA247+0.1*BH247</f>
        <v>53.01916094401987</v>
      </c>
      <c r="BK247" s="11">
        <v>1.91</v>
      </c>
      <c r="BL247" s="5">
        <f>M247*0.2</f>
        <v>1.598</v>
      </c>
      <c r="BM247" s="5">
        <f>ROUNDDOWN(M247/2.13,0)</f>
        <v>3</v>
      </c>
      <c r="BN247" s="12">
        <f>M247/4.26</f>
        <v>1.875586854460094</v>
      </c>
      <c r="BO247" s="5">
        <f>IF(M247&lt;8,1.22,IF(M247&lt;15.2,0.108333*M247+0.353,2))</f>
        <v>1.22</v>
      </c>
      <c r="BP247" s="12">
        <f>IF(BK247&lt;BO247,1+0.3*(BO247-BK247)/M247,1)</f>
        <v>1</v>
      </c>
      <c r="BQ247" s="32"/>
      <c r="BR247" s="39">
        <v>0</v>
      </c>
      <c r="BS247" t="s" s="24">
        <v>154</v>
      </c>
      <c r="BT247" s="36"/>
      <c r="BU247" s="36"/>
      <c r="BV247" s="5">
        <f>IF(BQ247&lt;(M247/0.3048)^0.5,1,IF(BU247="x",1-BR247*0.02,IF(BT247="x",1-BR247*0.01,1)))</f>
        <v>1</v>
      </c>
      <c r="BW247" s="12">
        <f>IF(K247="x",MIN(1.315,1.28+U247*N247/BJ247/AR247/1100),IF(L247="x",1.28,MAX(1.245,1.28-U247*N247/BJ247/AR247/1100)))</f>
        <v>1.298969260316967</v>
      </c>
      <c r="BX247" s="41">
        <f>BW247*T247*BV247*BP247*N247^0.3*BJ247^0.4/V247^0.325</f>
        <v>1.044545298251099</v>
      </c>
      <c r="BY247" s="29"/>
      <c r="BZ247" s="29"/>
      <c r="CA247" t="s" s="19">
        <v>162</v>
      </c>
      <c r="CB247" t="s" s="19">
        <v>723</v>
      </c>
      <c r="CC247" t="s" s="19">
        <v>180</v>
      </c>
      <c r="CD247" s="3"/>
      <c r="CE247" s="3"/>
      <c r="CF247" s="3"/>
      <c r="CG247" t="s" s="30">
        <f>A247</f>
        <v>1546</v>
      </c>
    </row>
    <row r="248" ht="12.75" customHeight="1">
      <c r="A248" t="s" s="25">
        <v>1547</v>
      </c>
      <c r="B248" t="s" s="19">
        <v>1548</v>
      </c>
      <c r="C248" t="s" s="19">
        <v>1212</v>
      </c>
      <c r="D248" t="s" s="19">
        <v>169</v>
      </c>
      <c r="E248" t="s" s="19">
        <v>1549</v>
      </c>
      <c r="F248" s="3"/>
      <c r="G248" s="3"/>
      <c r="H248" s="32"/>
      <c r="I248" s="32"/>
      <c r="J248" s="36"/>
      <c r="K248" t="s" s="24">
        <v>154</v>
      </c>
      <c r="L248" s="36"/>
      <c r="M248" s="11">
        <v>9.68</v>
      </c>
      <c r="N248" s="5">
        <v>9.140000000000001</v>
      </c>
      <c r="O248" s="11">
        <v>8</v>
      </c>
      <c r="P248" s="11"/>
      <c r="Q248" s="37"/>
      <c r="R248" t="s" s="24">
        <v>1550</v>
      </c>
      <c r="S248" s="36"/>
      <c r="T248" s="38">
        <f>IF(S248&gt;0,1.048,IF(R248&gt;0,1.048,IF(Q248&gt;0,1.036,0.907+1.55*(P248/N248)-4.449*(P248/N248)^2)))</f>
        <v>1.048</v>
      </c>
      <c r="U248" s="39">
        <v>2500</v>
      </c>
      <c r="V248" s="40">
        <f>IF(H248="x",75+U248,IF(M248&lt;6.66,150+U248,-1.7384*M248^2+92.38*M248-388+U248))</f>
        <v>2843.34614784</v>
      </c>
      <c r="W248" s="5"/>
      <c r="X248" s="5"/>
      <c r="Y248" s="5"/>
      <c r="Z248" s="5"/>
      <c r="AA248" s="5"/>
      <c r="AB248" s="5"/>
      <c r="AC248" s="5"/>
      <c r="AD248" s="33">
        <v>38</v>
      </c>
      <c r="AE248" s="5">
        <f>IF(AD248=0,(W248+4*X248+2*Y248+4*Z248+AA248)*AC248/12+W248*AB248/1.5,AD248)</f>
        <v>38</v>
      </c>
      <c r="AF248" s="11">
        <v>13.2</v>
      </c>
      <c r="AG248" s="11"/>
      <c r="AH248" s="5">
        <f>IF(AC248=0,AE248+AF248*AG248/2,AE248+AC248*AG248/2)</f>
        <v>38</v>
      </c>
      <c r="AI248" s="3"/>
      <c r="AJ248" s="3"/>
      <c r="AK248" s="33">
        <v>23</v>
      </c>
      <c r="AL248" s="5">
        <f>IF(AK248=0,AI248*AJ248/2,AK248)</f>
        <v>23</v>
      </c>
      <c r="AM248" s="3"/>
      <c r="AN248" s="5"/>
      <c r="AO248" s="5"/>
      <c r="AP248" s="5">
        <f>AL248+AI248*(AN248-AO248)/2</f>
        <v>23</v>
      </c>
      <c r="AQ248" s="5">
        <f>0.1*(AE248+AL248)</f>
        <v>6.100000000000001</v>
      </c>
      <c r="AR248" s="11">
        <v>13.17</v>
      </c>
      <c r="AS248" s="11"/>
      <c r="AT248" s="11"/>
      <c r="AU248" s="11"/>
      <c r="AV248" s="33"/>
      <c r="AW248" s="5">
        <f>IF(AV248=0,AS248/6*(AT248+AU248*4),AV248)</f>
        <v>0</v>
      </c>
      <c r="AX248" s="11"/>
      <c r="AY248" s="5">
        <f>IF(AX248&lt;0.149*M248+0.329,1,AX248/(0.149*M248+0.329))</f>
        <v>1</v>
      </c>
      <c r="AZ248" s="5">
        <f>IF(AW248*AY248&gt;AL248,(AW248*AY248-AL248)/4,0)</f>
        <v>0</v>
      </c>
      <c r="BA248" s="12">
        <f>0.401+0.1831*(2*AR248^2/(AH248+AP248+AZ248))-0.02016*(2*AR248^2/(AH248+AP248+AZ248))^2+0.0007472*(2*AR248^2/(AH248+AP248+AZ248))^3</f>
        <v>0.9277032212477543</v>
      </c>
      <c r="BB248" s="3"/>
      <c r="BC248" s="3"/>
      <c r="BD248" s="3"/>
      <c r="BE248" s="3"/>
      <c r="BF248" s="33"/>
      <c r="BG248" s="5">
        <f>IF(BF248=0,(BC248+BD248)*(BB248/12+BE248/3),BF248)</f>
        <v>0</v>
      </c>
      <c r="BH248" s="5">
        <f>IF(BG248*AY248&gt;AL248+AZ248,BG248*AY248-AL248-AZ248,0)</f>
        <v>0</v>
      </c>
      <c r="BI248" s="5">
        <f>IF(M248/1.6&lt;8,ROUND(M248/1.6,0),8)</f>
        <v>6</v>
      </c>
      <c r="BJ248" s="5">
        <f>(AH248+AP248+AZ248)*BA248+0.1*BH248</f>
        <v>56.58989649611301</v>
      </c>
      <c r="BK248" s="11">
        <v>1.75</v>
      </c>
      <c r="BL248" s="5">
        <f>M248*0.2</f>
        <v>1.936</v>
      </c>
      <c r="BM248" s="5">
        <f>ROUNDDOWN(M248/2.13,0)</f>
        <v>4</v>
      </c>
      <c r="BN248" s="12">
        <f>M248/4.26</f>
        <v>2.272300469483568</v>
      </c>
      <c r="BO248" s="5">
        <f>IF(M248&lt;8,1.22,IF(M248&lt;15.2,0.108333*M248+0.353,2))</f>
        <v>1.40166344</v>
      </c>
      <c r="BP248" s="12">
        <f>IF(BK248&lt;BO248,1+0.3*(BO248-BK248)/M248,1)</f>
        <v>1</v>
      </c>
      <c r="BQ248" s="39">
        <v>5</v>
      </c>
      <c r="BR248" s="39">
        <v>0</v>
      </c>
      <c r="BS248" t="s" s="24">
        <v>154</v>
      </c>
      <c r="BT248" s="36"/>
      <c r="BU248" s="36"/>
      <c r="BV248" s="5">
        <f>IF(BQ248&lt;(M248/0.3048)^0.5,1,IF(BU248="x",1-BR248*0.02,IF(BT248="x",1-BR248*0.01,1)))</f>
        <v>1</v>
      </c>
      <c r="BW248" s="12">
        <f>IF(K248="x",MIN(1.315,1.28+U248*N248/BJ248/AR248/1100),IF(L248="x",1.28,MAX(1.245,1.28-U248*N248/BJ248/AR248/1100)))</f>
        <v>1.307872045653083</v>
      </c>
      <c r="BX248" s="41">
        <f>BW248*T248*BV248*BP248*N248^0.3*BJ248^0.4/V248^0.325</f>
        <v>1.008814451652035</v>
      </c>
      <c r="BY248" s="29"/>
      <c r="BZ248" s="29"/>
      <c r="CA248" t="s" s="19">
        <v>213</v>
      </c>
      <c r="CB248" t="s" s="19">
        <v>231</v>
      </c>
      <c r="CC248" t="s" s="19">
        <v>614</v>
      </c>
      <c r="CD248" s="3"/>
      <c r="CE248" s="3"/>
      <c r="CF248" s="3"/>
      <c r="CG248" t="s" s="30">
        <f>A248</f>
        <v>1551</v>
      </c>
    </row>
    <row r="249" ht="12.75" customHeight="1">
      <c r="A249" t="s" s="25">
        <v>1552</v>
      </c>
      <c r="B249" t="s" s="19">
        <v>1553</v>
      </c>
      <c r="C249" t="s" s="19">
        <v>1554</v>
      </c>
      <c r="D249" s="3"/>
      <c r="E249" t="s" s="19">
        <v>1555</v>
      </c>
      <c r="F249" s="3"/>
      <c r="G249" s="3"/>
      <c r="H249" s="32"/>
      <c r="I249" s="32"/>
      <c r="J249" t="s" s="24">
        <v>154</v>
      </c>
      <c r="K249" s="36"/>
      <c r="L249" s="36"/>
      <c r="M249" s="11">
        <v>7.92</v>
      </c>
      <c r="N249" s="5">
        <v>7.46</v>
      </c>
      <c r="O249" s="11"/>
      <c r="P249" s="11">
        <v>0.38</v>
      </c>
      <c r="Q249" s="37"/>
      <c r="R249" s="36"/>
      <c r="S249" s="36"/>
      <c r="T249" s="38">
        <f>IF(S249&gt;0,1.048,IF(R249&gt;0,1.048,IF(Q249&gt;0,1.036,0.907+1.55*(P249/N249)-4.449*(P249/N249)^2)))</f>
        <v>0.9744105398586923</v>
      </c>
      <c r="U249" s="39">
        <v>1200</v>
      </c>
      <c r="V249" s="40">
        <f>IF(H249="x",75+U249,IF(M249&lt;6.66,150+U249,-1.7384*M249^2+92.38*M249-388+U249))</f>
        <v>1434.60602624</v>
      </c>
      <c r="W249" s="5"/>
      <c r="X249" s="5"/>
      <c r="Y249" s="5"/>
      <c r="Z249" s="5"/>
      <c r="AA249" s="5"/>
      <c r="AB249" s="5"/>
      <c r="AC249" s="5">
        <v>6.8</v>
      </c>
      <c r="AD249" s="33">
        <v>19</v>
      </c>
      <c r="AE249" s="5">
        <f>IF(AD249=0,(W249+4*X249+2*Y249+4*Z249+AA249)*AC249/12+W249*AB249/1.5,AD249)</f>
        <v>19</v>
      </c>
      <c r="AF249" s="11"/>
      <c r="AG249" s="11"/>
      <c r="AH249" s="5">
        <f>IF(AC249=0,AE249+AF249*AG249/2,AE249+AC249*AG249/2)</f>
        <v>19</v>
      </c>
      <c r="AI249" s="3"/>
      <c r="AJ249" s="3"/>
      <c r="AK249" s="33">
        <v>7.5</v>
      </c>
      <c r="AL249" s="5">
        <f>IF(AK249=0,AI249*AJ249/2,AK249)</f>
        <v>7.5</v>
      </c>
      <c r="AM249" s="3"/>
      <c r="AN249" s="5"/>
      <c r="AO249" s="5"/>
      <c r="AP249" s="5">
        <f>AL249+AI249*(AN249-AO249)/2</f>
        <v>7.5</v>
      </c>
      <c r="AQ249" s="5">
        <f>0.1*(AE249+AL249)</f>
        <v>2.65</v>
      </c>
      <c r="AR249" s="11">
        <v>7.48</v>
      </c>
      <c r="AS249" s="11"/>
      <c r="AT249" s="11"/>
      <c r="AU249" s="11"/>
      <c r="AV249" s="33"/>
      <c r="AW249" s="5">
        <f>IF(AV249=0,AS249/6*(AT249+AU249*4),AV249)</f>
        <v>0</v>
      </c>
      <c r="AX249" s="11">
        <v>0</v>
      </c>
      <c r="AY249" s="5">
        <f>IF(AX249&lt;0.149*M249+0.329,1,AX249/(0.149*M249+0.329))</f>
        <v>1</v>
      </c>
      <c r="AZ249" s="5">
        <f>IF(AW249*AY249&gt;AL249,(AW249*AY249-AL249)/4,0)</f>
        <v>0</v>
      </c>
      <c r="BA249" s="12">
        <f>0.401+0.1831*(2*AR249^2/(AH249+AP249+AZ249))-0.02016*(2*AR249^2/(AH249+AP249+AZ249))^2+0.0007472*(2*AR249^2/(AH249+AP249+AZ249))^3</f>
        <v>0.8709589913459622</v>
      </c>
      <c r="BB249" s="3"/>
      <c r="BC249" s="3"/>
      <c r="BD249" s="3"/>
      <c r="BE249" s="3"/>
      <c r="BF249" s="33">
        <v>32</v>
      </c>
      <c r="BG249" s="5">
        <f>IF(BF249=0,(BC249+BD249)*(BB249/12+BE249/3),BF249)</f>
        <v>32</v>
      </c>
      <c r="BH249" s="5">
        <f>IF(BG249*AY249&gt;AL249+AZ249,BG249*AY249-AL249-AZ249,0)</f>
        <v>24.5</v>
      </c>
      <c r="BI249" s="5">
        <f>IF(M249/1.6&lt;8,ROUND(M249/1.6,0),8)</f>
        <v>5</v>
      </c>
      <c r="BJ249" s="5">
        <f>(AH249+AP249+AZ249)*BA249+0.1*BH249</f>
        <v>25.530413270668</v>
      </c>
      <c r="BK249" s="11">
        <v>1.22</v>
      </c>
      <c r="BL249" s="5">
        <f>M249*0.2</f>
        <v>1.584</v>
      </c>
      <c r="BM249" s="5">
        <f>ROUNDDOWN(M249/2.13,0)</f>
        <v>3</v>
      </c>
      <c r="BN249" s="12">
        <f>M249/4.26</f>
        <v>1.859154929577465</v>
      </c>
      <c r="BO249" s="5">
        <f>IF(M249&lt;8,1.22,IF(M249&lt;15.2,0.108333*M249+0.353,2))</f>
        <v>1.22</v>
      </c>
      <c r="BP249" s="12">
        <f>IF(BK249&lt;BO249,1+0.3*(BO249-BK249)/M249,1)</f>
        <v>1</v>
      </c>
      <c r="BQ249" s="32"/>
      <c r="BR249" s="39">
        <v>0</v>
      </c>
      <c r="BS249" t="s" s="24">
        <v>154</v>
      </c>
      <c r="BT249" s="36"/>
      <c r="BU249" s="36"/>
      <c r="BV249" s="5">
        <f>IF(BQ249&lt;(M249/0.3048)^0.5,1,IF(BU249="x",1-BR249*0.02,IF(BT249="x",1-BR249*0.01,1)))</f>
        <v>1</v>
      </c>
      <c r="BW249" s="12">
        <f>IF(K249="x",MIN(1.315,1.28+U249*N249/BJ249/AR249/1100),IF(L249="x",1.28,MAX(1.245,1.28-U249*N249/BJ249/AR249/1100)))</f>
        <v>1.245</v>
      </c>
      <c r="BX249" s="41">
        <f>BW249*T249*BV249*BP249*N249^0.3*BJ249^0.4/V249^0.325</f>
        <v>0.7631642169210381</v>
      </c>
      <c r="BY249" s="29"/>
      <c r="BZ249" s="44">
        <v>1124</v>
      </c>
      <c r="CA249" t="s" s="19">
        <v>213</v>
      </c>
      <c r="CB249" t="s" s="19">
        <v>357</v>
      </c>
      <c r="CC249" t="s" s="19">
        <v>164</v>
      </c>
      <c r="CD249" t="s" s="19">
        <v>1556</v>
      </c>
      <c r="CE249" s="3"/>
      <c r="CF249" s="3"/>
      <c r="CG249" t="s" s="30">
        <f>A249</f>
        <v>1557</v>
      </c>
    </row>
    <row r="250" ht="12.75" customHeight="1">
      <c r="A250" t="s" s="25">
        <v>1558</v>
      </c>
      <c r="B250" t="s" s="19">
        <v>542</v>
      </c>
      <c r="C250" t="s" s="19">
        <v>344</v>
      </c>
      <c r="D250" t="s" s="19">
        <v>345</v>
      </c>
      <c r="E250" t="s" s="19">
        <v>1559</v>
      </c>
      <c r="F250" s="3"/>
      <c r="G250" s="3"/>
      <c r="H250" s="32"/>
      <c r="I250" s="32"/>
      <c r="J250" s="36"/>
      <c r="K250" t="s" s="24">
        <v>154</v>
      </c>
      <c r="L250" s="36"/>
      <c r="M250" s="11">
        <v>8.25</v>
      </c>
      <c r="N250" s="5">
        <v>8.125</v>
      </c>
      <c r="O250" s="11">
        <v>5.82</v>
      </c>
      <c r="P250" s="11"/>
      <c r="Q250" s="37"/>
      <c r="R250" t="s" s="24">
        <v>1560</v>
      </c>
      <c r="S250" s="36"/>
      <c r="T250" s="38">
        <f>IF(S250&gt;0,1.048,IF(R250&gt;0,1.048,IF(Q250&gt;0,1.036,0.907+1.55*(P250/N250)-4.449*(P250/N250)^2)))</f>
        <v>1.048</v>
      </c>
      <c r="U250" s="39">
        <v>1510</v>
      </c>
      <c r="V250" s="40">
        <f>IF(H250="x",75+U250,IF(M250&lt;6.66,150+U250,-1.7384*M250^2+92.38*M250-388+U250))</f>
        <v>1765.81515</v>
      </c>
      <c r="W250" s="5"/>
      <c r="X250" s="5"/>
      <c r="Y250" s="5"/>
      <c r="Z250" s="5"/>
      <c r="AA250" s="5"/>
      <c r="AB250" s="5"/>
      <c r="AC250" s="5"/>
      <c r="AD250" s="33">
        <v>24.94</v>
      </c>
      <c r="AE250" s="5">
        <f>IF(AD250=0,(W250+4*X250+2*Y250+4*Z250+AA250)*AC250/12+W250*AB250/1.5,AD250)</f>
        <v>24.94</v>
      </c>
      <c r="AF250" s="11">
        <v>12.5</v>
      </c>
      <c r="AG250" s="11"/>
      <c r="AH250" s="5">
        <f>IF(AC250=0,AE250+AF250*AG250/2,AE250+AC250*AG250/2)</f>
        <v>24.94</v>
      </c>
      <c r="AI250" s="3"/>
      <c r="AJ250" s="3"/>
      <c r="AK250" s="33">
        <v>25.27</v>
      </c>
      <c r="AL250" s="5">
        <f>IF(AK250=0,AI250*AJ250/2,AK250)</f>
        <v>25.27</v>
      </c>
      <c r="AM250" s="3"/>
      <c r="AN250" s="5"/>
      <c r="AO250" s="5"/>
      <c r="AP250" s="5">
        <f>AL250+AI250*(AN250-AO250)/2</f>
        <v>25.27</v>
      </c>
      <c r="AQ250" s="5">
        <f>0.1*(AE250+AL250)</f>
        <v>5.021000000000001</v>
      </c>
      <c r="AR250" s="11">
        <v>12.77</v>
      </c>
      <c r="AS250" s="11"/>
      <c r="AT250" s="11"/>
      <c r="AU250" s="11"/>
      <c r="AV250" s="33"/>
      <c r="AW250" s="5">
        <f>IF(AV250=0,AS250/6*(AT250+AU250*4),AV250)</f>
        <v>0</v>
      </c>
      <c r="AX250" s="11"/>
      <c r="AY250" s="5">
        <f>IF(AX250&lt;0.149*M250+0.329,1,AX250/(0.149*M250+0.329))</f>
        <v>1</v>
      </c>
      <c r="AZ250" s="5">
        <f>IF(AW250*AY250&gt;AL250,(AW250*AY250-AL250)/4,0)</f>
        <v>0</v>
      </c>
      <c r="BA250" s="12">
        <f>0.401+0.1831*(2*AR250^2/(AH250+AP250+AZ250))-0.02016*(2*AR250^2/(AH250+AP250+AZ250))^2+0.0007472*(2*AR250^2/(AH250+AP250+AZ250))^3</f>
        <v>0.9445210319850744</v>
      </c>
      <c r="BB250" s="5">
        <v>5.8</v>
      </c>
      <c r="BC250" s="5">
        <v>10.2</v>
      </c>
      <c r="BD250" s="5">
        <v>10.2</v>
      </c>
      <c r="BE250" s="5">
        <v>5</v>
      </c>
      <c r="BF250" s="33"/>
      <c r="BG250" s="5">
        <f>IF(BF250=0,(BC250+BD250)*(BB250/12+BE250/3),BF250)</f>
        <v>43.85999999999999</v>
      </c>
      <c r="BH250" s="5">
        <f>IF(BG250*AY250&gt;AL250+AZ250,BG250*AY250-AL250-AZ250,0)</f>
        <v>18.58999999999999</v>
      </c>
      <c r="BI250" s="5">
        <f>IF(M250/1.6&lt;8,ROUND(M250/1.6,0),8)</f>
        <v>5</v>
      </c>
      <c r="BJ250" s="5">
        <f>(AH250+AP250+AZ250)*BA250+0.1*BH250</f>
        <v>49.28340101597059</v>
      </c>
      <c r="BK250" s="11">
        <v>1.65</v>
      </c>
      <c r="BL250" s="5">
        <f>M250*0.2</f>
        <v>1.65</v>
      </c>
      <c r="BM250" s="5">
        <f>ROUNDDOWN(M250/2.13,0)</f>
        <v>3</v>
      </c>
      <c r="BN250" s="12">
        <f>M250/4.26</f>
        <v>1.936619718309859</v>
      </c>
      <c r="BO250" s="5">
        <f>IF(M250&lt;8,1.22,IF(M250&lt;15.2,0.108333*M250+0.353,2))</f>
        <v>1.24674725</v>
      </c>
      <c r="BP250" s="12">
        <f>IF(BK250&lt;BO250,1+0.3*(BO250-BK250)/M250,1)</f>
        <v>1</v>
      </c>
      <c r="BQ250" s="39">
        <v>7</v>
      </c>
      <c r="BR250" s="39">
        <v>0</v>
      </c>
      <c r="BS250" t="s" s="24">
        <v>154</v>
      </c>
      <c r="BT250" s="36"/>
      <c r="BU250" s="36"/>
      <c r="BV250" s="5">
        <f>IF(BQ250&lt;(M250/0.3048)^0.5,1,IF(BU250="x",1-BR250*0.02,IF(BT250="x",1-BR250*0.01,1)))</f>
        <v>1</v>
      </c>
      <c r="BW250" s="12">
        <f>IF(K250="x",MIN(1.315,1.28+U250*N250/BJ250/AR250/1100),IF(L250="x",1.28,MAX(1.245,1.28-U250*N250/BJ250/AR250/1100)))</f>
        <v>1.297722135956337</v>
      </c>
      <c r="BX250" s="41">
        <f>BW250*T250*BV250*BP250*N250^0.3*BJ250^0.4/V250^0.325</f>
        <v>1.067365280657724</v>
      </c>
      <c r="BY250" s="29"/>
      <c r="BZ250" s="29"/>
      <c r="CA250" t="s" s="19">
        <v>213</v>
      </c>
      <c r="CB250" t="s" s="19">
        <v>564</v>
      </c>
      <c r="CC250" t="s" s="19">
        <v>254</v>
      </c>
      <c r="CD250" t="s" s="19">
        <v>1561</v>
      </c>
      <c r="CE250" s="3"/>
      <c r="CF250" s="3"/>
      <c r="CG250" t="s" s="30">
        <f>A250</f>
        <v>1562</v>
      </c>
    </row>
    <row r="251" ht="12.75" customHeight="1">
      <c r="A251" t="s" s="25">
        <v>1563</v>
      </c>
      <c r="B251" t="s" s="19">
        <v>1564</v>
      </c>
      <c r="C251" t="s" s="19">
        <v>1565</v>
      </c>
      <c r="D251" t="s" s="19">
        <v>1566</v>
      </c>
      <c r="E251" t="s" s="19">
        <v>1567</v>
      </c>
      <c r="F251" s="3"/>
      <c r="G251" t="s" s="19">
        <v>1568</v>
      </c>
      <c r="H251" s="32"/>
      <c r="I251" s="32"/>
      <c r="J251" s="36"/>
      <c r="K251" t="s" s="24">
        <v>154</v>
      </c>
      <c r="L251" s="36"/>
      <c r="M251" s="11">
        <v>8</v>
      </c>
      <c r="N251" s="5">
        <v>8</v>
      </c>
      <c r="O251" s="11"/>
      <c r="P251" s="11"/>
      <c r="Q251" s="37"/>
      <c r="R251" t="s" s="24">
        <v>161</v>
      </c>
      <c r="S251" s="36"/>
      <c r="T251" s="38">
        <f>IF(S251&gt;0,1.048,IF(R251&gt;0,1.048,IF(Q251&gt;0,1.036,0.907+1.55*(P251/N251)-4.449*(P251/N251)^2)))</f>
        <v>1.048</v>
      </c>
      <c r="U251" s="39">
        <v>1076</v>
      </c>
      <c r="V251" s="40">
        <f>IF(H251="x",75+U251,IF(M251&lt;6.66,150+U251,-1.7384*M251^2+92.38*M251-388+U251))</f>
        <v>1315.7824</v>
      </c>
      <c r="W251" s="5">
        <v>3.43</v>
      </c>
      <c r="X251" s="5">
        <v>3.3</v>
      </c>
      <c r="Y251" s="5">
        <v>3</v>
      </c>
      <c r="Z251" s="5">
        <v>2.19</v>
      </c>
      <c r="AA251" s="5">
        <v>0.2</v>
      </c>
      <c r="AB251" s="5">
        <v>0.12</v>
      </c>
      <c r="AC251" s="5">
        <v>9.56</v>
      </c>
      <c r="AD251" s="33"/>
      <c r="AE251" s="5">
        <f>IF(AD251=0,(W251+4*X251+2*Y251+4*Z251+AA251)*AC251/12+W251*AB251/1.5,AD251)</f>
        <v>25.4411</v>
      </c>
      <c r="AF251" s="11">
        <v>11</v>
      </c>
      <c r="AG251" s="11">
        <v>0.39</v>
      </c>
      <c r="AH251" s="5">
        <f>IF(AC251=0,AE251+AF251*AG251/2,AE251+AC251*AG251/2)</f>
        <v>27.3053</v>
      </c>
      <c r="AI251" s="5">
        <v>8.710000000000001</v>
      </c>
      <c r="AJ251" s="5">
        <v>2.89</v>
      </c>
      <c r="AK251" s="33"/>
      <c r="AL251" s="5">
        <f>IF(AK251=0,AI251*AJ251/2,AK251)</f>
        <v>12.58595</v>
      </c>
      <c r="AM251" s="3"/>
      <c r="AN251" s="5"/>
      <c r="AO251" s="5"/>
      <c r="AP251" s="5">
        <f>AL251+AI251*(AN251-AO251)/2</f>
        <v>12.58595</v>
      </c>
      <c r="AQ251" s="5">
        <f>0.1*(AE251+AL251)</f>
        <v>3.802705</v>
      </c>
      <c r="AR251" s="11">
        <v>11</v>
      </c>
      <c r="AS251" s="11"/>
      <c r="AT251" s="11"/>
      <c r="AU251" s="11"/>
      <c r="AV251" s="33"/>
      <c r="AW251" s="5">
        <f>IF(AV251=0,AS251/6*(AT251+AU251*4),AV251)</f>
        <v>0</v>
      </c>
      <c r="AX251" s="11"/>
      <c r="AY251" s="5">
        <f>IF(AX251&lt;0.149*M251+0.329,1,AX251/(0.149*M251+0.329))</f>
        <v>1</v>
      </c>
      <c r="AZ251" s="5">
        <f>IF(AW251*AY251&gt;AL251,(AW251*AY251-AL251)/4,0)</f>
        <v>0</v>
      </c>
      <c r="BA251" s="12">
        <f>0.401+0.1831*(2*AR251^2/(AH251+AP251+AZ251))-0.02016*(2*AR251^2/(AH251+AP251+AZ251))^2+0.0007472*(2*AR251^2/(AH251+AP251+AZ251))^3</f>
        <v>0.9366604639536318</v>
      </c>
      <c r="BB251" s="5">
        <v>5.95</v>
      </c>
      <c r="BC251" s="5">
        <v>10.42</v>
      </c>
      <c r="BD251" s="5">
        <v>8</v>
      </c>
      <c r="BE251" s="5">
        <v>4.24</v>
      </c>
      <c r="BF251" s="33"/>
      <c r="BG251" s="5">
        <f>IF(BF251=0,(BC251+BD251)*(BB251/12+BE251/3),BF251)</f>
        <v>35.16685</v>
      </c>
      <c r="BH251" s="5">
        <f>IF(BG251*AY251&gt;AL251+AZ251,BG251*AY251-AL251-AZ251,0)</f>
        <v>22.5809</v>
      </c>
      <c r="BI251" s="5">
        <f>IF(M251/1.6&lt;8,ROUND(M251/1.6,0),8)</f>
        <v>5</v>
      </c>
      <c r="BJ251" s="5">
        <f>(AH251+AP251+AZ251)*BA251+0.1*BH251</f>
        <v>39.62264673269032</v>
      </c>
      <c r="BK251" s="11">
        <v>1.3</v>
      </c>
      <c r="BL251" s="5">
        <f>M251*0.2</f>
        <v>1.6</v>
      </c>
      <c r="BM251" s="5">
        <f>ROUNDDOWN(M251/2.13,0)</f>
        <v>3</v>
      </c>
      <c r="BN251" s="12">
        <f>M251/4.26</f>
        <v>1.877934272300469</v>
      </c>
      <c r="BO251" s="5">
        <f>IF(M251&lt;8,1.22,IF(M251&lt;15.2,0.108333*M251+0.353,2))</f>
        <v>1.219664</v>
      </c>
      <c r="BP251" s="12">
        <f>IF(BK251&lt;BO251,1+0.3*(BO251-BK251)/M251,1)</f>
        <v>1</v>
      </c>
      <c r="BQ251" s="32"/>
      <c r="BR251" s="39">
        <v>0</v>
      </c>
      <c r="BS251" t="s" s="24">
        <v>154</v>
      </c>
      <c r="BT251" s="36"/>
      <c r="BU251" s="36"/>
      <c r="BV251" s="5">
        <f>IF(BQ251&lt;(M251/0.3048)^0.5,1,IF(BU251="x",1-BR251*0.02,IF(BT251="x",1-BR251*0.01,1)))</f>
        <v>1</v>
      </c>
      <c r="BW251" s="12">
        <f>IF(K251="x",MIN(1.315,1.28+U251*N251/BJ251/AR251/1100),IF(L251="x",1.28,MAX(1.245,1.28-U251*N251/BJ251/AR251/1100)))</f>
        <v>1.297954503733108</v>
      </c>
      <c r="BX251" s="41">
        <f>BW251*T251*BV251*BP251*N251^0.3*BJ251^0.4/V251^0.325</f>
        <v>1.071495416735014</v>
      </c>
      <c r="BY251" s="29"/>
      <c r="BZ251" s="29"/>
      <c r="CA251" t="s" s="19">
        <v>162</v>
      </c>
      <c r="CB251" s="42">
        <v>1997</v>
      </c>
      <c r="CC251" t="s" s="19">
        <v>254</v>
      </c>
      <c r="CD251" t="s" s="19">
        <v>415</v>
      </c>
      <c r="CE251" s="3"/>
      <c r="CF251" s="3"/>
      <c r="CG251" t="s" s="30">
        <f>A251</f>
        <v>1569</v>
      </c>
    </row>
    <row r="252" ht="12.75" customHeight="1">
      <c r="A252" t="s" s="25">
        <v>1570</v>
      </c>
      <c r="B252" t="s" s="19">
        <v>820</v>
      </c>
      <c r="C252" t="s" s="19">
        <v>821</v>
      </c>
      <c r="D252" t="s" s="19">
        <v>822</v>
      </c>
      <c r="E252" t="s" s="19">
        <v>1571</v>
      </c>
      <c r="F252" s="3"/>
      <c r="G252" s="3"/>
      <c r="H252" s="32"/>
      <c r="I252" s="32"/>
      <c r="J252" t="s" s="24">
        <v>154</v>
      </c>
      <c r="K252" s="36"/>
      <c r="L252" s="36"/>
      <c r="M252" s="11">
        <v>8</v>
      </c>
      <c r="N252" s="5">
        <v>8</v>
      </c>
      <c r="O252" s="11"/>
      <c r="P252" s="11"/>
      <c r="Q252" s="37"/>
      <c r="R252" t="s" s="24">
        <v>161</v>
      </c>
      <c r="S252" s="36"/>
      <c r="T252" s="38">
        <f>IF(S252&gt;0,1.048,IF(R252&gt;0,1.048,IF(Q252&gt;0,1.036,0.907+1.55*(P252/N252)-4.449*(P252/N252)^2)))</f>
        <v>1.048</v>
      </c>
      <c r="U252" s="39">
        <v>768</v>
      </c>
      <c r="V252" s="40">
        <f>IF(H252="x",75+U252,IF(M252&lt;6.66,150+U252,-1.7384*M252^2+92.38*M252-388+U252))</f>
        <v>1007.7824</v>
      </c>
      <c r="W252" s="5"/>
      <c r="X252" s="5"/>
      <c r="Y252" s="5"/>
      <c r="Z252" s="5"/>
      <c r="AA252" s="5"/>
      <c r="AB252" s="5"/>
      <c r="AC252" s="5"/>
      <c r="AD252" s="33">
        <v>28.02</v>
      </c>
      <c r="AE252" s="5">
        <f>IF(AD252=0,(W252+4*X252+2*Y252+4*Z252+AA252)*AC252/12+W252*AB252/1.5,AD252)</f>
        <v>28.02</v>
      </c>
      <c r="AF252" s="11"/>
      <c r="AG252" s="11"/>
      <c r="AH252" s="5">
        <f>IF(AC252=0,AE252+AF252*AG252/2,AE252+AC252*AG252/2)</f>
        <v>28.02</v>
      </c>
      <c r="AI252" s="3"/>
      <c r="AJ252" s="3"/>
      <c r="AK252" s="33">
        <v>7.82</v>
      </c>
      <c r="AL252" s="5">
        <f>IF(AK252=0,AI252*AJ252/2,AK252)</f>
        <v>7.82</v>
      </c>
      <c r="AM252" s="3"/>
      <c r="AN252" s="5"/>
      <c r="AO252" s="5"/>
      <c r="AP252" s="5">
        <f>AL252+AI252*(AN252-AO252)/2</f>
        <v>7.82</v>
      </c>
      <c r="AQ252" s="5">
        <f>0.1*(AE252+AL252)</f>
        <v>3.584000000000001</v>
      </c>
      <c r="AR252" s="11">
        <v>11.7</v>
      </c>
      <c r="AS252" s="11"/>
      <c r="AT252" s="11"/>
      <c r="AU252" s="11"/>
      <c r="AV252" s="33"/>
      <c r="AW252" s="5">
        <f>IF(AV252=0,AS252/6*(AT252+AU252*4),AV252)</f>
        <v>0</v>
      </c>
      <c r="AX252" s="11"/>
      <c r="AY252" s="5">
        <f>IF(AX252&lt;0.149*M252+0.329,1,AX252/(0.149*M252+0.329))</f>
        <v>1</v>
      </c>
      <c r="AZ252" s="5">
        <f>IF(AW252*AY252&gt;AL252,(AW252*AY252-AL252)/4,0)</f>
        <v>0</v>
      </c>
      <c r="BA252" s="12">
        <f>0.401+0.1831*(2*AR252^2/(AH252+AP252+AZ252))-0.02016*(2*AR252^2/(AH252+AP252+AZ252))^2+0.0007472*(2*AR252^2/(AH252+AP252+AZ252))^3</f>
        <v>0.956355840121045</v>
      </c>
      <c r="BB252" s="3"/>
      <c r="BC252" s="3"/>
      <c r="BD252" s="3"/>
      <c r="BE252" s="3"/>
      <c r="BF252" s="33">
        <v>27.82</v>
      </c>
      <c r="BG252" s="5">
        <f>IF(BF252=0,(BC252+BD252)*(BB252/12+BE252/3),BF252)</f>
        <v>27.82</v>
      </c>
      <c r="BH252" s="5">
        <f>IF(BG252*AY252&gt;AL252+AZ252,BG252*AY252-AL252-AZ252,0)</f>
        <v>20</v>
      </c>
      <c r="BI252" s="5">
        <f>IF(M252/1.6&lt;8,ROUND(M252/1.6,0),8)</f>
        <v>5</v>
      </c>
      <c r="BJ252" s="5">
        <f>(AH252+AP252+AZ252)*BA252+0.1*BH252</f>
        <v>36.27579330993826</v>
      </c>
      <c r="BK252" s="11">
        <v>1.22</v>
      </c>
      <c r="BL252" s="5">
        <f>M252*0.2</f>
        <v>1.6</v>
      </c>
      <c r="BM252" s="5">
        <f>ROUNDDOWN(M252/2.13,0)</f>
        <v>3</v>
      </c>
      <c r="BN252" s="12">
        <f>M252/4.26</f>
        <v>1.877934272300469</v>
      </c>
      <c r="BO252" s="5">
        <f>IF(M252&lt;8,1.22,IF(M252&lt;15.2,0.108333*M252+0.353,2))</f>
        <v>1.219664</v>
      </c>
      <c r="BP252" s="12">
        <f>IF(BK252&lt;BO252,1+0.3*(BO252-BK252)/M252,1)</f>
        <v>1</v>
      </c>
      <c r="BQ252" s="32"/>
      <c r="BR252" s="39">
        <v>0</v>
      </c>
      <c r="BS252" t="s" s="24">
        <v>154</v>
      </c>
      <c r="BT252" s="36"/>
      <c r="BU252" s="36"/>
      <c r="BV252" s="5">
        <f>IF(BQ252&lt;(M252/0.3048)^0.5,1,IF(BU252="x",1-BR252*0.02,IF(BT252="x",1-BR252*0.01,1)))</f>
        <v>1</v>
      </c>
      <c r="BW252" s="12">
        <f>IF(K252="x",MIN(1.315,1.28+U252*N252/BJ252/AR252/1100),IF(L252="x",1.28,MAX(1.245,1.28-U252*N252/BJ252/AR252/1100)))</f>
        <v>1.266840004481487</v>
      </c>
      <c r="BX252" s="41">
        <f>BW252*T252*BV252*BP252*N252^0.3*BJ252^0.4/V252^0.325</f>
        <v>1.100937374314237</v>
      </c>
      <c r="BY252" s="29"/>
      <c r="BZ252" s="29"/>
      <c r="CA252" t="s" s="19">
        <v>162</v>
      </c>
      <c r="CB252" t="s" s="19">
        <v>1572</v>
      </c>
      <c r="CC252" t="s" s="19">
        <v>254</v>
      </c>
      <c r="CD252" t="s" s="19">
        <v>483</v>
      </c>
      <c r="CE252" s="3"/>
      <c r="CF252" s="3"/>
      <c r="CG252" t="s" s="30">
        <f>A252</f>
        <v>1573</v>
      </c>
    </row>
    <row r="253" ht="12.75" customHeight="1">
      <c r="A253" t="s" s="25">
        <v>1574</v>
      </c>
      <c r="B253" t="s" s="19">
        <v>1575</v>
      </c>
      <c r="C253" t="s" s="19">
        <v>562</v>
      </c>
      <c r="D253" t="s" s="19">
        <v>562</v>
      </c>
      <c r="E253" t="s" s="19">
        <v>1576</v>
      </c>
      <c r="F253" s="3"/>
      <c r="G253" s="42">
        <v>53</v>
      </c>
      <c r="H253" s="32"/>
      <c r="I253" s="32"/>
      <c r="J253" t="s" s="24">
        <v>154</v>
      </c>
      <c r="K253" s="36"/>
      <c r="L253" s="36"/>
      <c r="M253" s="11">
        <v>9.449999999999999</v>
      </c>
      <c r="N253" s="5">
        <v>9.449999999999999</v>
      </c>
      <c r="O253" s="11"/>
      <c r="P253" s="11">
        <v>0.76</v>
      </c>
      <c r="Q253" s="37"/>
      <c r="R253" s="36"/>
      <c r="S253" s="36"/>
      <c r="T253" s="38">
        <f>IF(S253&gt;0,1.048,IF(R253&gt;0,1.048,IF(Q253&gt;0,1.036,0.907+1.55*(P253/N253)-4.449*(P253/N253)^2)))</f>
        <v>1.002880379608634</v>
      </c>
      <c r="U253" s="39">
        <v>4135</v>
      </c>
      <c r="V253" s="40">
        <f>IF(H253="x",75+U253,IF(M253&lt;6.66,150+U253,-1.7384*M253^2+92.38*M253-388+U253))</f>
        <v>4464.747534</v>
      </c>
      <c r="W253" s="5">
        <v>2.25</v>
      </c>
      <c r="X253" s="5">
        <v>1.93</v>
      </c>
      <c r="Y253" s="5">
        <v>1.45</v>
      </c>
      <c r="Z253" s="5">
        <v>0.8</v>
      </c>
      <c r="AA253" s="5">
        <v>0.1</v>
      </c>
      <c r="AB253" s="5"/>
      <c r="AC253" s="5">
        <v>8.85</v>
      </c>
      <c r="AD253" s="33"/>
      <c r="AE253" s="5">
        <f>IF(AD253=0,(W253+4*X253+2*Y253+4*Z253+AA253)*AC253/12+W253*AB253/1.5,AD253)</f>
        <v>11.925375</v>
      </c>
      <c r="AF253" s="11"/>
      <c r="AG253" s="11"/>
      <c r="AH253" s="5">
        <f>IF(AC253=0,AE253+AF253*AG253/2,AE253+AC253*AG253/2)</f>
        <v>11.925375</v>
      </c>
      <c r="AI253" s="5">
        <v>10.6</v>
      </c>
      <c r="AJ253" s="5">
        <v>5.86</v>
      </c>
      <c r="AK253" s="33"/>
      <c r="AL253" s="5">
        <f>IF(AK253=0,AI253*AJ253/2,AK253)</f>
        <v>31.058</v>
      </c>
      <c r="AM253" s="3"/>
      <c r="AN253" s="5"/>
      <c r="AO253" s="5"/>
      <c r="AP253" s="5">
        <f>AL253+AI253*(AN253-AO253)/2</f>
        <v>31.058</v>
      </c>
      <c r="AQ253" s="5">
        <f>0.1*(AE253+AL253)</f>
        <v>4.298337500000001</v>
      </c>
      <c r="AR253" s="11">
        <v>9.93</v>
      </c>
      <c r="AS253" s="11"/>
      <c r="AT253" s="11"/>
      <c r="AU253" s="11"/>
      <c r="AV253" s="33"/>
      <c r="AW253" s="5">
        <f>IF(AV253=0,AS253/6*(AT253+AU253*4),AV253)</f>
        <v>0</v>
      </c>
      <c r="AX253" s="11">
        <v>0</v>
      </c>
      <c r="AY253" s="5">
        <f>IF(AX253&lt;0.149*M253+0.329,1,AX253/(0.149*M253+0.329))</f>
        <v>1</v>
      </c>
      <c r="AZ253" s="5">
        <f>IF(AW253*AY253&gt;AL253,(AW253*AY253-AL253)/4,0)</f>
        <v>0</v>
      </c>
      <c r="BA253" s="12">
        <f>0.401+0.1831*(2*AR253^2/(AH253+AP253+AZ253))-0.02016*(2*AR253^2/(AH253+AP253+AZ253))^2+0.0007472*(2*AR253^2/(AH253+AP253+AZ253))^3</f>
        <v>0.8888639038230057</v>
      </c>
      <c r="BB253" s="5">
        <v>7.08</v>
      </c>
      <c r="BC253" s="5">
        <v>10.52</v>
      </c>
      <c r="BD253" s="5">
        <v>10.11</v>
      </c>
      <c r="BE253" s="5">
        <v>6.1</v>
      </c>
      <c r="BF253" s="33"/>
      <c r="BG253" s="5">
        <f>IF(BF253=0,(BC253+BD253)*(BB253/12+BE253/3),BF253)</f>
        <v>54.11936666666666</v>
      </c>
      <c r="BH253" s="5">
        <f>IF(BG253*AY253&gt;AL253+AZ253,BG253*AY253-AL253-AZ253,0)</f>
        <v>23.06136666666666</v>
      </c>
      <c r="BI253" s="5">
        <f>IF(M253/1.6&lt;8,ROUND(M253/1.6,0),8)</f>
        <v>6</v>
      </c>
      <c r="BJ253" s="5">
        <f>(AH253+AP253+AZ253)*BA253+0.1*BH253</f>
        <v>40.51250716865486</v>
      </c>
      <c r="BK253" s="11">
        <v>1.9</v>
      </c>
      <c r="BL253" s="5">
        <f>M253*0.2</f>
        <v>1.89</v>
      </c>
      <c r="BM253" s="5">
        <f>ROUNDDOWN(M253/2.13,0)</f>
        <v>4</v>
      </c>
      <c r="BN253" s="12">
        <f>M253/4.26</f>
        <v>2.21830985915493</v>
      </c>
      <c r="BO253" s="5">
        <f>IF(M253&lt;8,1.22,IF(M253&lt;15.2,0.108333*M253+0.353,2))</f>
        <v>1.37674685</v>
      </c>
      <c r="BP253" s="12">
        <f>IF(BK253&lt;BO253,1+0.3*(BO253-BK253)/M253,1)</f>
        <v>1</v>
      </c>
      <c r="BQ253" s="32"/>
      <c r="BR253" s="39">
        <v>0</v>
      </c>
      <c r="BS253" t="s" s="24">
        <v>154</v>
      </c>
      <c r="BT253" s="36"/>
      <c r="BU253" s="36"/>
      <c r="BV253" s="5">
        <f>IF(BQ253&lt;(M253/0.3048)^0.5,1,IF(BU253="x",1-BR253*0.02,IF(BT253="x",1-BR253*0.01,1)))</f>
        <v>1</v>
      </c>
      <c r="BW253" s="12">
        <f>IF(K253="x",MIN(1.315,1.28+U253*N253/BJ253/AR253/1100),IF(L253="x",1.28,MAX(1.245,1.28-U253*N253/BJ253/AR253/1100)))</f>
        <v>1.245</v>
      </c>
      <c r="BX253" s="41">
        <f>BW253*T253*BV253*BP253*N253^0.3*BJ253^0.4/V253^0.325</f>
        <v>0.7012932886026388</v>
      </c>
      <c r="BY253" s="29"/>
      <c r="BZ253" s="48"/>
      <c r="CA253" t="s" s="19">
        <v>162</v>
      </c>
      <c r="CB253" s="42">
        <v>1997</v>
      </c>
      <c r="CC253" t="s" s="19">
        <v>254</v>
      </c>
      <c r="CD253" t="s" s="19">
        <v>1577</v>
      </c>
      <c r="CE253" s="3"/>
      <c r="CF253" s="3"/>
      <c r="CG253" t="s" s="30">
        <f>A253</f>
        <v>1578</v>
      </c>
    </row>
    <row r="254" ht="12.75" customHeight="1">
      <c r="A254" t="s" s="53">
        <v>1579</v>
      </c>
      <c r="B254" t="s" s="54">
        <v>1580</v>
      </c>
      <c r="C254" t="s" s="54">
        <v>1581</v>
      </c>
      <c r="D254" t="s" s="54">
        <v>1221</v>
      </c>
      <c r="E254" t="s" s="54">
        <v>1582</v>
      </c>
      <c r="F254" s="55"/>
      <c r="G254" s="69">
        <v>5</v>
      </c>
      <c r="H254" s="56"/>
      <c r="I254" s="56"/>
      <c r="J254" t="s" s="58">
        <v>154</v>
      </c>
      <c r="K254" s="57"/>
      <c r="L254" s="57"/>
      <c r="M254" s="59">
        <v>8</v>
      </c>
      <c r="N254" s="60">
        <v>7.95</v>
      </c>
      <c r="O254" s="59">
        <v>5.65</v>
      </c>
      <c r="P254" s="59"/>
      <c r="Q254" s="61"/>
      <c r="R254" s="77">
        <v>1.1</v>
      </c>
      <c r="S254" s="57"/>
      <c r="T254" s="63">
        <f>IF(S254&gt;0,1.048,IF(R254&gt;0,1.048,IF(Q254&gt;0,1.036,0.907+1.55*(P254/N254)-4.449*(P254/N254)^2)))</f>
        <v>1.048</v>
      </c>
      <c r="U254" s="62">
        <v>850</v>
      </c>
      <c r="V254" s="64">
        <f>IF(H254="x",75+U254,IF(M254&lt;6.66,150+U254,-1.7384*M254^2+92.38*M254-388+U254))</f>
        <v>1089.7824</v>
      </c>
      <c r="W254" s="60"/>
      <c r="X254" s="60"/>
      <c r="Y254" s="60"/>
      <c r="Z254" s="60"/>
      <c r="AA254" s="60"/>
      <c r="AB254" s="60"/>
      <c r="AC254" s="60">
        <v>10.5</v>
      </c>
      <c r="AD254" s="65">
        <v>27</v>
      </c>
      <c r="AE254" s="60">
        <f>IF(AD254=0,(W254+4*X254+2*Y254+4*Z254+AA254)*AC254/12+W254*AB254/1.5,AD254)</f>
        <v>27</v>
      </c>
      <c r="AF254" s="59">
        <v>11.7</v>
      </c>
      <c r="AG254" s="59">
        <v>0.335</v>
      </c>
      <c r="AH254" s="60">
        <f>IF(AC254=0,AE254+AF254*AG254/2,AE254+AC254*AG254/2)</f>
        <v>28.75875</v>
      </c>
      <c r="AI254" s="60"/>
      <c r="AJ254" s="60"/>
      <c r="AK254" s="65">
        <v>18.15</v>
      </c>
      <c r="AL254" s="60">
        <f>IF(AK254=0,AI254*AJ254/2,AK254)</f>
        <v>18.15</v>
      </c>
      <c r="AM254" t="s" s="54">
        <v>154</v>
      </c>
      <c r="AN254" s="60"/>
      <c r="AO254" s="60"/>
      <c r="AP254" s="60">
        <f>AL254+AI254*(AN254-AO254)/2</f>
        <v>18.15</v>
      </c>
      <c r="AQ254" s="60">
        <f>0.1*(AE254+AL254)</f>
        <v>4.515</v>
      </c>
      <c r="AR254" s="59">
        <v>11.7</v>
      </c>
      <c r="AS254" s="59"/>
      <c r="AT254" s="59"/>
      <c r="AU254" s="59"/>
      <c r="AV254" s="65"/>
      <c r="AW254" s="5">
        <f>IF(AV254=0,AS254/6*(AT254+AU254*4),AV254)</f>
        <v>0</v>
      </c>
      <c r="AX254" s="59"/>
      <c r="AY254" s="60">
        <f>IF(AX254&lt;0.149*M254+0.329,1,AX254/(0.149*M254+0.329))</f>
        <v>1</v>
      </c>
      <c r="AZ254" s="5">
        <f>IF(AW254*AY254&gt;AL254,(AW254*AY254-AL254)/4,0)</f>
        <v>0</v>
      </c>
      <c r="BA254" s="66">
        <f>0.401+0.1831*(2*AR254^2/(AH254+AP254+AZ254))-0.02016*(2*AR254^2/(AH254+AP254+AZ254))^2+0.0007472*(2*AR254^2/(AH254+AP254+AZ254))^3</f>
        <v>0.9314740606294014</v>
      </c>
      <c r="BB254" s="60"/>
      <c r="BC254" s="60"/>
      <c r="BD254" s="60"/>
      <c r="BE254" s="60"/>
      <c r="BF254" s="65">
        <v>40.42</v>
      </c>
      <c r="BG254" s="60">
        <f>IF(BF254=0,(BC254+BD254)*(BB254/12+BE254/3),BF254)</f>
        <v>40.42</v>
      </c>
      <c r="BH254" s="60">
        <f>IF(BG254*AY254&gt;AL254+AZ254,BG254*AY254-AL254-AZ254,0)</f>
        <v>22.27</v>
      </c>
      <c r="BI254" s="60">
        <f>IF(M254/1.6&lt;8,ROUND(M254/1.6,0),8)</f>
        <v>5</v>
      </c>
      <c r="BJ254" s="60">
        <f>(AH254+AP254+AZ254)*BA254+0.1*BH254</f>
        <v>45.92128384154942</v>
      </c>
      <c r="BK254" s="59">
        <v>1.22</v>
      </c>
      <c r="BL254" s="60">
        <f>M254*0.2</f>
        <v>1.6</v>
      </c>
      <c r="BM254" s="60">
        <f>ROUNDDOWN(M254/2.13,0)</f>
        <v>3</v>
      </c>
      <c r="BN254" s="66">
        <f>M254/4.26</f>
        <v>1.877934272300469</v>
      </c>
      <c r="BO254" s="60">
        <f>IF(M254&lt;8,1.22,IF(M254&lt;15.2,0.108333*M254+0.353,2))</f>
        <v>1.219664</v>
      </c>
      <c r="BP254" s="66">
        <f>IF(BK254&lt;BO254,1+0.3*(BO254-BK254)/M254,1)</f>
        <v>1</v>
      </c>
      <c r="BQ254" s="56"/>
      <c r="BR254" s="56"/>
      <c r="BS254" t="s" s="58">
        <v>154</v>
      </c>
      <c r="BT254" s="57"/>
      <c r="BU254" s="57"/>
      <c r="BV254" s="60">
        <f>IF(BQ254&lt;(M254/0.3048)^0.5,1,IF(BU254="x",1-BR254*0.02,IF(BT254="x",1-BR254*0.01,1)))</f>
        <v>1</v>
      </c>
      <c r="BW254" s="66">
        <f>IF(K254="x",MIN(1.315,1.28+U254*N254/BJ254/AR254/1100),IF(L254="x",1.28,MAX(1.245,1.28-U254*N254/BJ254/AR254/1100)))</f>
        <v>1.268566123785433</v>
      </c>
      <c r="BX254" s="67">
        <f>BW254*T254*BV254*BP254*N254^0.3*BJ254^0.4/V254^0.325</f>
        <v>1.178839576584014</v>
      </c>
      <c r="BY254" s="29"/>
      <c r="BZ254" s="48"/>
      <c r="CA254" t="s" s="54">
        <v>162</v>
      </c>
      <c r="CB254" t="s" s="54">
        <v>1583</v>
      </c>
      <c r="CC254" t="s" s="19">
        <v>254</v>
      </c>
      <c r="CD254" t="s" s="19">
        <v>1584</v>
      </c>
      <c r="CE254" s="86"/>
      <c r="CF254" s="3"/>
      <c r="CG254" t="s" s="30">
        <f>A254</f>
        <v>1585</v>
      </c>
    </row>
    <row r="255" ht="12.75" customHeight="1">
      <c r="A255" t="s" s="25">
        <v>1586</v>
      </c>
      <c r="B255" t="s" s="19">
        <v>574</v>
      </c>
      <c r="C255" t="s" s="19">
        <v>213</v>
      </c>
      <c r="D255" t="s" s="19">
        <v>1587</v>
      </c>
      <c r="E255" t="s" s="19">
        <v>1588</v>
      </c>
      <c r="F255" s="3"/>
      <c r="G255" s="3"/>
      <c r="H255" s="32"/>
      <c r="I255" s="32"/>
      <c r="J255" t="s" s="24">
        <v>154</v>
      </c>
      <c r="K255" s="36"/>
      <c r="L255" s="36"/>
      <c r="M255" s="11">
        <v>10.7</v>
      </c>
      <c r="N255" s="5">
        <v>10.53</v>
      </c>
      <c r="O255" s="11">
        <v>6</v>
      </c>
      <c r="P255" s="11"/>
      <c r="Q255" s="37"/>
      <c r="R255" t="s" s="24">
        <v>1589</v>
      </c>
      <c r="S255" s="36"/>
      <c r="T255" s="38">
        <f>IF(S255&gt;0,1.048,IF(R255&gt;0,1.048,IF(Q255&gt;0,1.036,0.907+1.55*(P255/N255)-4.449*(P255/N255)^2)))</f>
        <v>1.048</v>
      </c>
      <c r="U255" s="39">
        <v>2000</v>
      </c>
      <c r="V255" s="40">
        <f>IF(H255="x",75+U255,IF(M255&lt;6.66,150+U255,-1.7384*M255^2+92.38*M255-388+U255))</f>
        <v>2401.436584</v>
      </c>
      <c r="W255" s="5"/>
      <c r="X255" s="5"/>
      <c r="Y255" s="5"/>
      <c r="Z255" s="5"/>
      <c r="AA255" s="5"/>
      <c r="AB255" s="5"/>
      <c r="AC255" s="5"/>
      <c r="AD255" s="33">
        <v>38</v>
      </c>
      <c r="AE255" s="5">
        <f>IF(AD255=0,(W255+4*X255+2*Y255+4*Z255+AA255)*AC255/12+W255*AB255/1.5,AD255)</f>
        <v>38</v>
      </c>
      <c r="AF255" s="11">
        <v>12.7</v>
      </c>
      <c r="AG255" s="11"/>
      <c r="AH255" s="5">
        <f>IF(AC255=0,AE255+AF255*AG255/2,AE255+AC255*AG255/2)</f>
        <v>38</v>
      </c>
      <c r="AI255" s="3"/>
      <c r="AJ255" s="3"/>
      <c r="AK255" s="33">
        <v>15.3</v>
      </c>
      <c r="AL255" s="5">
        <f>IF(AK255=0,AI255*AJ255/2,AK255)</f>
        <v>15.3</v>
      </c>
      <c r="AM255" s="3"/>
      <c r="AN255" s="5"/>
      <c r="AO255" s="5"/>
      <c r="AP255" s="5">
        <f>AL255+AI255*(AN255-AO255)/2</f>
        <v>15.3</v>
      </c>
      <c r="AQ255" s="5">
        <f>0.1*(AE255+AL255)</f>
        <v>5.33</v>
      </c>
      <c r="AR255" s="11">
        <v>13.5</v>
      </c>
      <c r="AS255" s="11"/>
      <c r="AT255" s="11"/>
      <c r="AU255" s="11"/>
      <c r="AV255" s="33"/>
      <c r="AW255" s="5">
        <f>IF(AV255=0,AS255/6*(AT255+AU255*4),AV255)</f>
        <v>0</v>
      </c>
      <c r="AX255" s="11"/>
      <c r="AY255" s="5">
        <f>IF(AX255&lt;0.149*M255+0.329,1,AX255/(0.149*M255+0.329))</f>
        <v>1</v>
      </c>
      <c r="AZ255" s="5">
        <f>IF(AW255*AY255&gt;AL255,(AW255*AY255-AL255)/4,0)</f>
        <v>0</v>
      </c>
      <c r="BA255" s="12">
        <f>0.401+0.1831*(2*AR255^2/(AH255+AP255+AZ255))-0.02016*(2*AR255^2/(AH255+AP255+AZ255))^2+0.0007472*(2*AR255^2/(AH255+AP255+AZ255))^3</f>
        <v>0.949303924258416</v>
      </c>
      <c r="BB255" s="3"/>
      <c r="BC255" s="3"/>
      <c r="BD255" s="3"/>
      <c r="BE255" s="3"/>
      <c r="BF255" s="33">
        <v>60</v>
      </c>
      <c r="BG255" s="5">
        <f>IF(BF255=0,(BC255+BD255)*(BB255/12+BE255/3),BF255)</f>
        <v>60</v>
      </c>
      <c r="BH255" s="5">
        <f>IF(BG255*AY255&gt;AL255+AZ255,BG255*AY255-AL255-AZ255,0)</f>
        <v>44.7</v>
      </c>
      <c r="BI255" s="5">
        <f>IF(M255/1.6&lt;8,ROUND(M255/1.6,0),8)</f>
        <v>7</v>
      </c>
      <c r="BJ255" s="5">
        <f>(AH255+AP255+AZ255)*BA255+0.1*BH255</f>
        <v>55.06789916297357</v>
      </c>
      <c r="BK255" s="11">
        <v>1.78</v>
      </c>
      <c r="BL255" s="5">
        <f>M255*0.2</f>
        <v>2.14</v>
      </c>
      <c r="BM255" s="5">
        <f>ROUNDDOWN(M255/2.13,0)</f>
        <v>5</v>
      </c>
      <c r="BN255" s="12">
        <f>M255/4.26</f>
        <v>2.511737089201878</v>
      </c>
      <c r="BO255" s="5">
        <f>IF(M255&lt;8,1.22,IF(M255&lt;15.2,0.108333*M255+0.353,2))</f>
        <v>1.5121631</v>
      </c>
      <c r="BP255" s="12">
        <f>IF(BK255&lt;BO255,1+0.3*(BO255-BK255)/M255,1)</f>
        <v>1</v>
      </c>
      <c r="BQ255" s="39">
        <v>5</v>
      </c>
      <c r="BR255" s="32"/>
      <c r="BS255" t="s" s="24">
        <v>154</v>
      </c>
      <c r="BT255" s="36"/>
      <c r="BU255" s="36"/>
      <c r="BV255" s="5">
        <f>IF(BQ255&lt;(M255/0.3048)^0.5,1,IF(BU255="x",1-BR255*0.02,IF(BT255="x",1-BR255*0.01,1)))</f>
        <v>1</v>
      </c>
      <c r="BW255" s="12">
        <f>IF(K255="x",MIN(1.315,1.28+U255*N255/BJ255/AR255/1100),IF(L255="x",1.28,MAX(1.245,1.28-U255*N255/BJ255/AR255/1100)))</f>
        <v>1.254246669298483</v>
      </c>
      <c r="BX255" s="41">
        <f>BW255*T255*BV255*BP255*N255^0.3*BJ255^0.4/V255^0.325</f>
        <v>1.054821659686616</v>
      </c>
      <c r="BY255" s="29"/>
      <c r="BZ255" s="29"/>
      <c r="CA255" t="s" s="19">
        <v>213</v>
      </c>
      <c r="CB255" t="s" s="19">
        <v>231</v>
      </c>
      <c r="CC255" t="s" s="19">
        <v>180</v>
      </c>
      <c r="CD255" s="3"/>
      <c r="CE255" s="3"/>
      <c r="CF255" s="3"/>
      <c r="CG255" t="s" s="30">
        <f>A255</f>
        <v>1590</v>
      </c>
    </row>
    <row r="256" ht="12.75" customHeight="1">
      <c r="A256" t="s" s="25">
        <v>1591</v>
      </c>
      <c r="B256" t="s" s="19">
        <v>1592</v>
      </c>
      <c r="C256" t="s" s="19">
        <v>1593</v>
      </c>
      <c r="D256" t="s" s="19">
        <v>1594</v>
      </c>
      <c r="E256" t="s" s="19">
        <v>1595</v>
      </c>
      <c r="F256" s="3"/>
      <c r="G256" s="3"/>
      <c r="H256" s="32"/>
      <c r="I256" s="32"/>
      <c r="J256" s="36"/>
      <c r="K256" t="s" s="24">
        <v>154</v>
      </c>
      <c r="L256" s="36"/>
      <c r="M256" s="11">
        <v>8</v>
      </c>
      <c r="N256" s="5">
        <v>7.82</v>
      </c>
      <c r="O256" s="11">
        <v>4.57</v>
      </c>
      <c r="P256" s="11"/>
      <c r="Q256" t="s" s="24">
        <v>1596</v>
      </c>
      <c r="R256" s="36"/>
      <c r="S256" s="36"/>
      <c r="T256" s="38">
        <f>IF(S256&gt;0,1.048,IF(R256&gt;0,1.048,IF(Q256&gt;0,1.036,0.907+1.55*(P256/N256)-4.449*(P256/N256)^2)))</f>
        <v>1.036</v>
      </c>
      <c r="U256" s="39">
        <v>1600</v>
      </c>
      <c r="V256" s="40">
        <f>IF(H256="x",75+U256,IF(M256&lt;6.66,150+U256,-1.7384*M256^2+92.38*M256-388+U256))</f>
        <v>1839.7824</v>
      </c>
      <c r="W256" s="5"/>
      <c r="X256" s="5"/>
      <c r="Y256" s="5"/>
      <c r="Z256" s="5"/>
      <c r="AA256" s="5"/>
      <c r="AB256" s="5"/>
      <c r="AC256" s="5">
        <v>8</v>
      </c>
      <c r="AD256" s="33">
        <v>12.1</v>
      </c>
      <c r="AE256" s="5">
        <f>IF(AD256=0,(W256+4*X256+2*Y256+4*Z256+AA256)*AC256/12+W256*AB256/1.5,AD256)</f>
        <v>12.1</v>
      </c>
      <c r="AF256" s="11">
        <v>8.5</v>
      </c>
      <c r="AG256" s="11"/>
      <c r="AH256" s="5">
        <f>IF(AC256=0,AE256+AF256*AG256/2,AE256+AC256*AG256/2)</f>
        <v>12.1</v>
      </c>
      <c r="AI256" s="3"/>
      <c r="AJ256" s="3"/>
      <c r="AK256" s="33">
        <v>17.8</v>
      </c>
      <c r="AL256" s="5">
        <f>IF(AK256=0,AI256*AJ256/2,AK256)</f>
        <v>17.8</v>
      </c>
      <c r="AM256" s="3"/>
      <c r="AN256" s="5"/>
      <c r="AO256" s="5"/>
      <c r="AP256" s="5">
        <f>AL256+AI256*(AN256-AO256)/2</f>
        <v>17.8</v>
      </c>
      <c r="AQ256" s="5">
        <f>0.1*(AE256+AL256)</f>
        <v>2.99</v>
      </c>
      <c r="AR256" s="11">
        <v>9</v>
      </c>
      <c r="AS256" s="11"/>
      <c r="AT256" s="11"/>
      <c r="AU256" s="11"/>
      <c r="AV256" s="33">
        <v>28.8</v>
      </c>
      <c r="AW256" s="5">
        <f>IF(AV256=0,AS256/6*(AT256+AU256*4),AV256)</f>
        <v>28.8</v>
      </c>
      <c r="AX256" s="11"/>
      <c r="AY256" s="5">
        <f>IF(AX256&lt;0.149*M256+0.329,1,AX256/(0.149*M256+0.329))</f>
        <v>1</v>
      </c>
      <c r="AZ256" s="5">
        <f>IF(AW256*AY256&gt;AL256,(AW256*AY256-AL256)/4,0)</f>
        <v>2.75</v>
      </c>
      <c r="BA256" s="12">
        <f>0.401+0.1831*(2*AR256^2/(AH256+AP256+AZ256))-0.02016*(2*AR256^2/(AH256+AP256+AZ256))^2+0.0007472*(2*AR256^2/(AH256+AP256+AZ256))^3</f>
        <v>0.904449624001792</v>
      </c>
      <c r="BB256" s="3"/>
      <c r="BC256" s="3"/>
      <c r="BD256" s="3"/>
      <c r="BE256" s="3"/>
      <c r="BF256" s="33"/>
      <c r="BG256" s="5">
        <f>IF(BF256=0,(BC256+BD256)*(BB256/12+BE256/3),BF256)</f>
        <v>0</v>
      </c>
      <c r="BH256" s="5">
        <f>IF(BG256*AY256&gt;AL256+AZ256,BG256*AY256-AL256-AZ256,0)</f>
        <v>0</v>
      </c>
      <c r="BI256" s="5">
        <f>IF(M256/1.6&lt;8,ROUND(M256/1.6,0),8)</f>
        <v>5</v>
      </c>
      <c r="BJ256" s="5">
        <f>(AH256+AP256+AZ256)*BA256+0.1*BH256</f>
        <v>29.53028022365851</v>
      </c>
      <c r="BK256" s="11">
        <v>1.7</v>
      </c>
      <c r="BL256" s="5">
        <f>M256*0.2</f>
        <v>1.6</v>
      </c>
      <c r="BM256" s="5">
        <f>ROUNDDOWN(M256/2.13,0)</f>
        <v>3</v>
      </c>
      <c r="BN256" s="12">
        <f>M256/4.26</f>
        <v>1.877934272300469</v>
      </c>
      <c r="BO256" s="5">
        <f>IF(M256&lt;8,1.22,IF(M256&lt;15.2,0.108333*M256+0.353,2))</f>
        <v>1.219664</v>
      </c>
      <c r="BP256" s="12">
        <f>IF(BK256&lt;BO256,1+0.3*(BO256-BK256)/M256,1)</f>
        <v>1</v>
      </c>
      <c r="BQ256" s="39">
        <v>6</v>
      </c>
      <c r="BR256" s="39">
        <v>1</v>
      </c>
      <c r="BS256" s="36"/>
      <c r="BT256" s="36"/>
      <c r="BU256" t="s" s="24">
        <v>154</v>
      </c>
      <c r="BV256" s="5">
        <f>IF(BQ256&lt;(M256/0.3048)^0.5,1,IF(BU256="x",1-BR256*0.02,IF(BT256="x",1-BR256*0.01,1)))</f>
        <v>0.98</v>
      </c>
      <c r="BW256" s="12">
        <f>IF(K256="x",MIN(1.315,1.28+U256*N256/BJ256/AR256/1100),IF(L256="x",1.28,MAX(1.245,1.28-U256*N256/BJ256/AR256/1100)))</f>
        <v>1.315</v>
      </c>
      <c r="BX256" s="41">
        <f>BW256*T256*BV256*BP256*N256^0.3*BJ256^0.4/V256^0.325</f>
        <v>0.8327823988535217</v>
      </c>
      <c r="BY256" s="29"/>
      <c r="BZ256" s="29"/>
      <c r="CA256" t="s" s="19">
        <v>213</v>
      </c>
      <c r="CB256" t="s" s="19">
        <v>231</v>
      </c>
      <c r="CC256" s="3"/>
      <c r="CD256" s="3"/>
      <c r="CE256" s="3"/>
      <c r="CF256" s="3"/>
      <c r="CG256" t="s" s="30">
        <f>A256</f>
        <v>1597</v>
      </c>
    </row>
    <row r="257" ht="12.75" customHeight="1">
      <c r="A257" t="s" s="25">
        <v>1598</v>
      </c>
      <c r="B257" t="s" s="19">
        <v>1599</v>
      </c>
      <c r="C257" t="s" s="19">
        <v>333</v>
      </c>
      <c r="D257" t="s" s="19">
        <v>334</v>
      </c>
      <c r="E257" t="s" s="19">
        <v>1600</v>
      </c>
      <c r="F257" s="3"/>
      <c r="G257" s="3"/>
      <c r="H257" s="32"/>
      <c r="I257" s="32"/>
      <c r="J257" t="s" s="24">
        <v>154</v>
      </c>
      <c r="K257" s="36"/>
      <c r="L257" s="36"/>
      <c r="M257" s="11">
        <v>13.25</v>
      </c>
      <c r="N257" s="5">
        <v>13.25</v>
      </c>
      <c r="O257" s="11">
        <v>6.6</v>
      </c>
      <c r="P257" s="11">
        <v>1.2</v>
      </c>
      <c r="Q257" s="37"/>
      <c r="R257" s="36"/>
      <c r="S257" s="36"/>
      <c r="T257" s="38">
        <f>IF(S257&gt;0,1.048,IF(R257&gt;0,1.048,IF(Q257&gt;0,1.036,0.907+1.55*(P257/N257)-4.449*(P257/N257)^2)))</f>
        <v>1.010885738697045</v>
      </c>
      <c r="U257" s="39">
        <v>9000</v>
      </c>
      <c r="V257" s="40">
        <f>IF(H257="x",75+U257,IF(M257&lt;6.66,150+U257,-1.7384*M257^2+92.38*M257-388+U257))</f>
        <v>9530.837149999999</v>
      </c>
      <c r="W257" s="5"/>
      <c r="X257" s="5"/>
      <c r="Y257" s="5"/>
      <c r="Z257" s="5"/>
      <c r="AA257" s="5"/>
      <c r="AB257" s="5"/>
      <c r="AC257" s="5"/>
      <c r="AD257" s="33">
        <v>50</v>
      </c>
      <c r="AE257" s="5">
        <f>IF(AD257=0,(W257+4*X257+2*Y257+4*Z257+AA257)*AC257/12+W257*AB257/1.5,AD257)</f>
        <v>50</v>
      </c>
      <c r="AF257" s="11">
        <v>16.6</v>
      </c>
      <c r="AG257" s="11"/>
      <c r="AH257" s="5">
        <f>IF(AC257=0,AE257+AF257*AG257/2,AE257+AC257*AG257/2)</f>
        <v>50</v>
      </c>
      <c r="AI257" s="3"/>
      <c r="AJ257" s="3"/>
      <c r="AK257" s="33">
        <v>30</v>
      </c>
      <c r="AL257" s="5">
        <f>IF(AK257=0,AI257*AJ257/2,AK257)</f>
        <v>30</v>
      </c>
      <c r="AM257" s="3"/>
      <c r="AN257" s="5"/>
      <c r="AO257" s="5"/>
      <c r="AP257" s="5">
        <f>AL257+AI257*(AN257-AO257)/2</f>
        <v>30</v>
      </c>
      <c r="AQ257" s="5">
        <f>0.1*(AE257+AL257)</f>
        <v>8</v>
      </c>
      <c r="AR257" s="11">
        <v>17.6</v>
      </c>
      <c r="AS257" s="11"/>
      <c r="AT257" s="11"/>
      <c r="AU257" s="11"/>
      <c r="AV257" s="33">
        <v>60</v>
      </c>
      <c r="AW257" s="5">
        <f>IF(AV257=0,AS257/6*(AT257+AU257*4),AV257)</f>
        <v>60</v>
      </c>
      <c r="AX257" s="11">
        <v>1.2</v>
      </c>
      <c r="AY257" s="5">
        <f>IF(AX257&lt;0.149*M257+0.329,1,AX257/(0.149*M257+0.329))</f>
        <v>1</v>
      </c>
      <c r="AZ257" s="5">
        <f>IF(AW257*AY257&gt;AL257,(AW257*AY257-AL257)/4,0)</f>
        <v>7.5</v>
      </c>
      <c r="BA257" s="12">
        <f>0.401+0.1831*(2*AR257^2/(AH257+AP257+AZ257))-0.02016*(2*AR257^2/(AH257+AP257+AZ257))^2+0.0007472*(2*AR257^2/(AH257+AP257+AZ257))^3</f>
        <v>0.9519795392196182</v>
      </c>
      <c r="BB257" s="3"/>
      <c r="BC257" s="3"/>
      <c r="BD257" s="3"/>
      <c r="BE257" s="3"/>
      <c r="BF257" s="33">
        <v>91</v>
      </c>
      <c r="BG257" s="5">
        <f>IF(BF257=0,(BC257+BD257)*(BB257/12+BE257/3),BF257)</f>
        <v>91</v>
      </c>
      <c r="BH257" s="5">
        <f>IF(BG257*AY257&gt;AL257+AZ257,BG257*AY257-AL257-AZ257,0)</f>
        <v>53.5</v>
      </c>
      <c r="BI257" s="42">
        <f>IF(M257/1.6&lt;8,ROUND(M257/1.6,0),8)</f>
        <v>8</v>
      </c>
      <c r="BJ257" s="5">
        <f>(AH257+AP257+AZ257)*BA257+0.1*BH257</f>
        <v>88.64820968171658</v>
      </c>
      <c r="BK257" s="11">
        <v>1.95</v>
      </c>
      <c r="BL257" s="5">
        <f>M257*0.2</f>
        <v>2.65</v>
      </c>
      <c r="BM257" s="5">
        <f>ROUNDDOWN(M257/2.13,0)</f>
        <v>6</v>
      </c>
      <c r="BN257" s="12">
        <f>M257/4.26</f>
        <v>3.110328638497653</v>
      </c>
      <c r="BO257" s="5">
        <f>IF(M257&lt;8,1.22,IF(M257&lt;15.2,0.108333*M257+0.353,2))</f>
        <v>1.78841225</v>
      </c>
      <c r="BP257" s="12">
        <f>IF(BK257&lt;BO257,1+0.3*(BO257-BK257)/M257,1)</f>
        <v>1</v>
      </c>
      <c r="BQ257" s="39">
        <v>8</v>
      </c>
      <c r="BR257" s="39">
        <v>2</v>
      </c>
      <c r="BS257" s="36"/>
      <c r="BT257" t="s" s="24">
        <v>154</v>
      </c>
      <c r="BU257" s="36"/>
      <c r="BV257" s="5">
        <f>IF(BQ257&lt;(M257/0.3048)^0.5,1,IF(BU257="x",1-BR257*0.02,IF(BT257="x",1-BR257*0.01,1)))</f>
        <v>0.98</v>
      </c>
      <c r="BW257" s="12">
        <f>IF(K257="x",MIN(1.315,1.28+U257*N257/BJ257/AR257/1100),IF(L257="x",1.28,MAX(1.245,1.28-U257*N257/BJ257/AR257/1100)))</f>
        <v>1.245</v>
      </c>
      <c r="BX257" s="41">
        <f>BW257*T257*BV257*BP257*N257^0.3*BJ257^0.4/V257^0.325</f>
        <v>0.8196202070234804</v>
      </c>
      <c r="BY257" s="29"/>
      <c r="BZ257" s="29"/>
      <c r="CA257" t="s" s="19">
        <v>188</v>
      </c>
      <c r="CB257" t="s" s="19">
        <v>245</v>
      </c>
      <c r="CC257" t="s" s="19">
        <v>180</v>
      </c>
      <c r="CD257" t="s" s="19">
        <v>660</v>
      </c>
      <c r="CE257" s="3"/>
      <c r="CF257" s="3"/>
      <c r="CG257" t="s" s="30">
        <f>A257</f>
        <v>1601</v>
      </c>
    </row>
    <row r="258" ht="12.75" customHeight="1">
      <c r="A258" t="s" s="25">
        <v>1602</v>
      </c>
      <c r="B258" t="s" s="19">
        <v>928</v>
      </c>
      <c r="C258" t="s" s="19">
        <v>304</v>
      </c>
      <c r="D258" t="s" s="19">
        <v>305</v>
      </c>
      <c r="E258" t="s" s="19">
        <v>1603</v>
      </c>
      <c r="F258" s="3"/>
      <c r="G258" s="3"/>
      <c r="H258" s="32"/>
      <c r="I258" s="32"/>
      <c r="J258" t="s" s="24">
        <v>154</v>
      </c>
      <c r="K258" s="36"/>
      <c r="L258" s="36"/>
      <c r="M258" s="11">
        <v>8</v>
      </c>
      <c r="N258" s="5">
        <v>8</v>
      </c>
      <c r="O258" s="11">
        <v>4.5</v>
      </c>
      <c r="P258" s="11">
        <v>0.7</v>
      </c>
      <c r="Q258" s="37"/>
      <c r="R258" s="36"/>
      <c r="S258" s="36"/>
      <c r="T258" s="38">
        <f>IF(S258&gt;0,1.048,IF(R258&gt;0,1.048,IF(Q258&gt;0,1.036,0.907+1.55*(P258/N258)-4.449*(P258/N258)^2)))</f>
        <v>1.008562343750</v>
      </c>
      <c r="U258" s="39">
        <v>1000</v>
      </c>
      <c r="V258" s="40">
        <f>IF(H258="x",75+U258,IF(M258&lt;6.66,150+U258,-1.7384*M258^2+92.38*M258-388+U258))</f>
        <v>1239.7824</v>
      </c>
      <c r="W258" s="5"/>
      <c r="X258" s="5"/>
      <c r="Y258" s="5"/>
      <c r="Z258" s="5"/>
      <c r="AA258" s="5"/>
      <c r="AB258" s="5"/>
      <c r="AC258" s="5">
        <v>10.5</v>
      </c>
      <c r="AD258" s="33">
        <v>25</v>
      </c>
      <c r="AE258" s="5">
        <f>IF(AD258=0,(W258+4*X258+2*Y258+4*Z258+AA258)*AC258/12+W258*AB258/1.5,AD258)</f>
        <v>25</v>
      </c>
      <c r="AF258" s="11">
        <v>11</v>
      </c>
      <c r="AG258" s="11"/>
      <c r="AH258" s="5">
        <f>IF(AC258=0,AE258+AF258*AG258/2,AE258+AC258*AG258/2)</f>
        <v>25</v>
      </c>
      <c r="AI258" s="3"/>
      <c r="AJ258" s="3"/>
      <c r="AK258" s="33">
        <v>14</v>
      </c>
      <c r="AL258" s="5">
        <f>IF(AK258=0,AI258*AJ258/2,AK258)</f>
        <v>14</v>
      </c>
      <c r="AM258" s="3"/>
      <c r="AN258" s="5"/>
      <c r="AO258" s="5"/>
      <c r="AP258" s="5">
        <f>AL258+AI258*(AN258-AO258)/2</f>
        <v>14</v>
      </c>
      <c r="AQ258" s="5">
        <f>0.1*(AE258+AL258)</f>
        <v>3.9</v>
      </c>
      <c r="AR258" s="11">
        <v>11</v>
      </c>
      <c r="AS258" s="11"/>
      <c r="AT258" s="11"/>
      <c r="AU258" s="11"/>
      <c r="AV258" s="33"/>
      <c r="AW258" s="5">
        <f>IF(AV258=0,AS258/6*(AT258+AU258*4),AV258)</f>
        <v>0</v>
      </c>
      <c r="AX258" s="11">
        <v>0</v>
      </c>
      <c r="AY258" s="5">
        <f>IF(AX258&lt;0.149*M258+0.329,1,AX258/(0.149*M258+0.329))</f>
        <v>1</v>
      </c>
      <c r="AZ258" s="5">
        <f>IF(AW258*AY258&gt;AL258,(AW258*AY258-AL258)/4,0)</f>
        <v>0</v>
      </c>
      <c r="BA258" s="12">
        <f>0.401+0.1831*(2*AR258^2/(AH258+AP258+AZ258))-0.02016*(2*AR258^2/(AH258+AP258+AZ258))^2+0.0007472*(2*AR258^2/(AH258+AP258+AZ258))^3</f>
        <v>0.9394470047303562</v>
      </c>
      <c r="BB258" s="3"/>
      <c r="BC258" s="3"/>
      <c r="BD258" s="3"/>
      <c r="BE258" s="3"/>
      <c r="BF258" s="33">
        <v>40</v>
      </c>
      <c r="BG258" s="5">
        <f>IF(BF258=0,(BC258+BD258)*(BB258/12+BE258/3),BF258)</f>
        <v>40</v>
      </c>
      <c r="BH258" s="5">
        <f>IF(BG258*AY258&gt;AL258+AZ258,BG258*AY258-AL258-AZ258,0)</f>
        <v>26</v>
      </c>
      <c r="BI258" s="5">
        <f>IF(M258/1.6&lt;8,ROUND(M258/1.6,0),8)</f>
        <v>5</v>
      </c>
      <c r="BJ258" s="5">
        <f>(AH258+AP258+AZ258)*BA258+0.1*BH258</f>
        <v>39.2384331844839</v>
      </c>
      <c r="BK258" s="11">
        <v>1.22</v>
      </c>
      <c r="BL258" s="5">
        <f>M258*0.2</f>
        <v>1.6</v>
      </c>
      <c r="BM258" s="5">
        <f>ROUNDDOWN(M258/2.13,0)</f>
        <v>3</v>
      </c>
      <c r="BN258" s="12">
        <f>M258/4.26</f>
        <v>1.877934272300469</v>
      </c>
      <c r="BO258" s="5">
        <f>IF(M258&lt;8,1.22,IF(M258&lt;15.2,0.108333*M258+0.353,2))</f>
        <v>1.219664</v>
      </c>
      <c r="BP258" s="12">
        <f>IF(BK258&lt;BO258,1+0.3*(BO258-BK258)/M258,1)</f>
        <v>1</v>
      </c>
      <c r="BQ258" s="32"/>
      <c r="BR258" s="39">
        <v>0</v>
      </c>
      <c r="BS258" t="s" s="24">
        <v>154</v>
      </c>
      <c r="BT258" s="36"/>
      <c r="BU258" s="36"/>
      <c r="BV258" s="5">
        <f>IF(BQ258&lt;(M258/0.3048)^0.5,1,IF(BU258="x",1-BR258*0.02,IF(BT258="x",1-BR258*0.01,1)))</f>
        <v>1</v>
      </c>
      <c r="BW258" s="12">
        <f>IF(K258="x",MIN(1.315,1.28+U258*N258/BJ258/AR258/1100),IF(L258="x",1.28,MAX(1.245,1.28-U258*N258/BJ258/AR258/1100)))</f>
        <v>1.263150269489995</v>
      </c>
      <c r="BX258" s="41">
        <f>BW258*T258*BV258*BP258*N258^0.3*BJ258^0.4/V258^0.325</f>
        <v>1.019136017790066</v>
      </c>
      <c r="BY258" s="29"/>
      <c r="BZ258" s="29"/>
      <c r="CA258" t="s" s="19">
        <v>213</v>
      </c>
      <c r="CB258" t="s" s="19">
        <v>357</v>
      </c>
      <c r="CC258" t="s" s="19">
        <v>180</v>
      </c>
      <c r="CD258" t="s" s="19">
        <v>1604</v>
      </c>
      <c r="CE258" s="3"/>
      <c r="CF258" s="3"/>
      <c r="CG258" t="s" s="30">
        <f>A258</f>
        <v>1605</v>
      </c>
    </row>
    <row r="259" ht="12.75" customHeight="1">
      <c r="A259" t="s" s="25">
        <v>1606</v>
      </c>
      <c r="B259" t="s" s="19">
        <v>721</v>
      </c>
      <c r="C259" t="s" s="19">
        <v>709</v>
      </c>
      <c r="D259" t="s" s="19">
        <v>710</v>
      </c>
      <c r="E259" t="s" s="19">
        <v>1607</v>
      </c>
      <c r="F259" t="s" s="19">
        <v>1608</v>
      </c>
      <c r="G259" t="s" s="19">
        <v>1609</v>
      </c>
      <c r="H259" s="32"/>
      <c r="I259" s="32"/>
      <c r="J259" s="36"/>
      <c r="K259" t="s" s="24">
        <v>154</v>
      </c>
      <c r="L259" s="36"/>
      <c r="M259" s="11">
        <v>8.369999999999999</v>
      </c>
      <c r="N259" s="5">
        <v>8.369999999999999</v>
      </c>
      <c r="O259" s="11">
        <v>6.4</v>
      </c>
      <c r="P259" s="11"/>
      <c r="Q259" s="37"/>
      <c r="R259" s="43">
        <v>1.8</v>
      </c>
      <c r="S259" s="36"/>
      <c r="T259" s="38">
        <f>IF(S259&gt;0,1.048,IF(R259&gt;0,1.048,IF(Q259&gt;0,1.036,0.907+1.55*(P259/N259)-4.449*(P259/N259)^2)))</f>
        <v>1.048</v>
      </c>
      <c r="U259" s="39">
        <v>1800</v>
      </c>
      <c r="V259" s="40">
        <f>IF(H259="x",75+U259,IF(M259&lt;6.66,150+U259,-1.7384*M259^2+92.38*M259-388+U259))</f>
        <v>2063.43368504</v>
      </c>
      <c r="W259" s="5"/>
      <c r="X259" s="5"/>
      <c r="Y259" s="5"/>
      <c r="Z259" s="5"/>
      <c r="AA259" s="5"/>
      <c r="AB259" s="5"/>
      <c r="AC259" s="5">
        <v>10.6</v>
      </c>
      <c r="AD259" s="33">
        <v>32.85</v>
      </c>
      <c r="AE259" s="5">
        <f>IF(AD259=0,(W259+4*X259+2*Y259+4*Z259+AA259)*AC259/12+W259*AB259/1.5,AD259)</f>
        <v>32.85</v>
      </c>
      <c r="AF259" s="11">
        <v>12.2</v>
      </c>
      <c r="AG259" s="11"/>
      <c r="AH259" s="5">
        <f>IF(AC259=0,AE259+AF259*AG259/2,AE259+AC259*AG259/2)</f>
        <v>32.85</v>
      </c>
      <c r="AI259" s="5">
        <v>10</v>
      </c>
      <c r="AJ259" s="3"/>
      <c r="AK259" s="33">
        <v>12.46</v>
      </c>
      <c r="AL259" s="5">
        <f>IF(AK259=0,AI259*AJ259/2,AK259)</f>
        <v>12.46</v>
      </c>
      <c r="AM259" t="s" s="19">
        <v>154</v>
      </c>
      <c r="AN259" s="5"/>
      <c r="AO259" s="5"/>
      <c r="AP259" s="5">
        <f>AL259+AI259*(AN259-AO259)/2</f>
        <v>12.46</v>
      </c>
      <c r="AQ259" s="5">
        <f>0.1*(AE259+AL259)</f>
        <v>4.531000000000001</v>
      </c>
      <c r="AR259" s="11">
        <v>12.2</v>
      </c>
      <c r="AS259" s="11"/>
      <c r="AT259" s="11"/>
      <c r="AU259" s="11"/>
      <c r="AV259" s="33">
        <v>34.45</v>
      </c>
      <c r="AW259" s="5">
        <f>IF(AV259=0,AS259/6*(AT259+AU259*4),AV259)</f>
        <v>34.45</v>
      </c>
      <c r="AX259" s="11">
        <v>0.32</v>
      </c>
      <c r="AY259" s="5">
        <f>IF(AX259&lt;0.149*M259+0.329,1,AX259/(0.149*M259+0.329))</f>
        <v>1</v>
      </c>
      <c r="AZ259" s="5">
        <f>IF(AW259*AY259&gt;AL259,(AW259*AY259-AL259)/4,0)</f>
        <v>5.4975</v>
      </c>
      <c r="BA259" s="12">
        <f>0.401+0.1831*(2*AR259^2/(AH259+AP259+AZ259))-0.02016*(2*AR259^2/(AH259+AP259+AZ259))^2+0.0007472*(2*AR259^2/(AH259+AP259+AZ259))^3</f>
        <v>0.9320144188545664</v>
      </c>
      <c r="BB259" s="3"/>
      <c r="BC259" s="3"/>
      <c r="BD259" s="3"/>
      <c r="BE259" s="3"/>
      <c r="BF259" s="33">
        <v>64.68000000000001</v>
      </c>
      <c r="BG259" s="5">
        <f>IF(BF259=0,(BC259+BD259)*(BB259/12+BE259/3),BF259)</f>
        <v>64.68000000000001</v>
      </c>
      <c r="BH259" s="5">
        <f>IF(BG259*AY259&gt;AL259+AZ259,BG259*AY259-AL259-AZ259,0)</f>
        <v>46.7225</v>
      </c>
      <c r="BI259" s="5">
        <f>IF(M259/1.6&lt;8,ROUND(M259/1.6,0),8)</f>
        <v>5</v>
      </c>
      <c r="BJ259" s="5">
        <f>(AH259+AP259+AZ259)*BA259+0.1*BH259</f>
        <v>52.02557258595338</v>
      </c>
      <c r="BK259" s="11">
        <v>1.89</v>
      </c>
      <c r="BL259" s="5">
        <f>M259*0.2</f>
        <v>1.674</v>
      </c>
      <c r="BM259" s="5">
        <f>ROUNDDOWN(M259/2.13,0)</f>
        <v>3</v>
      </c>
      <c r="BN259" s="12">
        <f>M259/4.26</f>
        <v>1.964788732394366</v>
      </c>
      <c r="BO259" s="5">
        <f>IF(M259&lt;8,1.22,IF(M259&lt;15.2,0.108333*M259+0.353,2))</f>
        <v>1.25974721</v>
      </c>
      <c r="BP259" s="12">
        <f>IF(BK259&lt;BO259,1+0.3*(BO259-BK259)/M259,1)</f>
        <v>1</v>
      </c>
      <c r="BQ259" s="39">
        <v>6</v>
      </c>
      <c r="BR259" s="32"/>
      <c r="BS259" t="s" s="24">
        <v>154</v>
      </c>
      <c r="BT259" s="36"/>
      <c r="BU259" s="36"/>
      <c r="BV259" s="5">
        <f>IF(BQ259&lt;(M259/0.3048)^0.5,1,IF(BU259="x",1-BR259*0.02,IF(BT259="x",1-BR259*0.01,1)))</f>
        <v>1</v>
      </c>
      <c r="BW259" s="12">
        <f>IF(K259="x",MIN(1.315,1.28+U259*N259/BJ259/AR259/1100),IF(L259="x",1.28,MAX(1.245,1.28-U259*N259/BJ259/AR259/1100)))</f>
        <v>1.301578864033148</v>
      </c>
      <c r="BX259" s="41">
        <f>BW259*T259*BV259*BP259*N259^0.3*BJ259^0.4/V259^0.325</f>
        <v>1.049286867497555</v>
      </c>
      <c r="BY259" s="29"/>
      <c r="BZ259" s="29"/>
      <c r="CA259" t="s" s="19">
        <v>188</v>
      </c>
      <c r="CB259" s="3"/>
      <c r="CC259" t="s" s="19">
        <v>1610</v>
      </c>
      <c r="CD259" s="3"/>
      <c r="CE259" s="3"/>
      <c r="CF259" s="3"/>
      <c r="CG259" t="s" s="30">
        <f>A259</f>
        <v>1611</v>
      </c>
    </row>
    <row r="260" ht="12.75" customHeight="1">
      <c r="A260" t="s" s="25">
        <v>1612</v>
      </c>
      <c r="B260" t="s" s="19">
        <v>1613</v>
      </c>
      <c r="C260" t="s" s="19">
        <v>1614</v>
      </c>
      <c r="D260" t="s" s="19">
        <v>1615</v>
      </c>
      <c r="E260" t="s" s="19">
        <v>589</v>
      </c>
      <c r="F260" s="4"/>
      <c r="G260" t="s" s="31">
        <v>1616</v>
      </c>
      <c r="H260" s="32"/>
      <c r="I260" s="32"/>
      <c r="J260" s="36"/>
      <c r="K260" s="36"/>
      <c r="L260" t="s" s="24">
        <v>154</v>
      </c>
      <c r="M260" s="11">
        <v>8</v>
      </c>
      <c r="N260" s="15">
        <v>8</v>
      </c>
      <c r="O260" t="s" s="68">
        <v>799</v>
      </c>
      <c r="P260" s="11"/>
      <c r="Q260" s="37"/>
      <c r="R260" t="s" s="24">
        <v>154</v>
      </c>
      <c r="S260" s="36"/>
      <c r="T260" s="38">
        <f>IF(S260&gt;0,1.048,IF(R260&gt;0,1.048,IF(Q260&gt;0,1.036,0.907+1.55*(P260/N260)-4.449*(P260/N260)^2)))</f>
        <v>1.048</v>
      </c>
      <c r="U260" s="39">
        <v>870</v>
      </c>
      <c r="V260" s="45">
        <f>IF(H260="x",75+U260,IF(M260&lt;6.66,150+U260,-1.7384*M260^2+92.38*M260-388+U260))</f>
        <v>1109.7824</v>
      </c>
      <c r="W260" s="9">
        <v>3.24</v>
      </c>
      <c r="X260" s="9">
        <v>3.02</v>
      </c>
      <c r="Y260" s="9">
        <v>2.5</v>
      </c>
      <c r="Z260" s="9">
        <v>1.68</v>
      </c>
      <c r="AA260" s="9">
        <v>0.16</v>
      </c>
      <c r="AB260" s="9">
        <v>0.03</v>
      </c>
      <c r="AC260" s="9">
        <v>8.33</v>
      </c>
      <c r="AD260" s="33"/>
      <c r="AE260" s="5">
        <f>IF(AD260=0,(W260+4*X260+2*Y260+4*Z260+AA260)*AC260/12+W260*AB260/1.5,AD260)</f>
        <v>18.94613333333334</v>
      </c>
      <c r="AF260" s="11"/>
      <c r="AG260" s="11">
        <v>0.36</v>
      </c>
      <c r="AH260" s="5">
        <f>IF(AC260=0,AE260+AF260*AG260/2,AE260+AC260*AG260/2)</f>
        <v>20.44553333333334</v>
      </c>
      <c r="AI260" s="9">
        <v>6.42</v>
      </c>
      <c r="AJ260" s="9">
        <v>1.87</v>
      </c>
      <c r="AK260" s="33"/>
      <c r="AL260" s="5">
        <f>IF(AK260=0,AI260*AJ260/2,AK260)</f>
        <v>6.0027</v>
      </c>
      <c r="AM260" s="32"/>
      <c r="AN260" s="11">
        <v>0.13</v>
      </c>
      <c r="AO260" s="11"/>
      <c r="AP260" s="5">
        <f>AL260+AI260*(AN260-AO260)/2</f>
        <v>6.42</v>
      </c>
      <c r="AQ260" s="5">
        <f>0.1*(AE260+AL260)</f>
        <v>2.494883333333334</v>
      </c>
      <c r="AR260" s="11">
        <v>9.140000000000001</v>
      </c>
      <c r="AS260" s="11"/>
      <c r="AT260" s="11"/>
      <c r="AU260" s="11"/>
      <c r="AV260" s="33"/>
      <c r="AW260" s="5">
        <f>IF(AV260=0,AS260/6*(AT260+AU260*4),AV260)</f>
        <v>0</v>
      </c>
      <c r="AX260" s="11"/>
      <c r="AY260" s="5">
        <f>IF(AX260&lt;0.149*M260+0.329,1,AX260/(0.149*M260+0.329))</f>
        <v>1</v>
      </c>
      <c r="AZ260" s="5">
        <f>IF(AW260*AY260&gt;AL260,(AW260*AY260-AL260)/4,0)</f>
        <v>0</v>
      </c>
      <c r="BA260" s="12">
        <f>0.401+0.1831*(2*AR260^2/(AH260+AP260+AZ260))-0.02016*(2*AR260^2/(AH260+AP260+AZ260))^2+0.0007472*(2*AR260^2/(AH260+AP260+AZ260))^3</f>
        <v>0.9397141406565833</v>
      </c>
      <c r="BB260" s="9"/>
      <c r="BC260" s="9"/>
      <c r="BD260" s="9"/>
      <c r="BE260" s="9"/>
      <c r="BF260" s="33"/>
      <c r="BG260" s="5">
        <f>IF(BF260=0,(BC260+BD260)*(BB260/12+BE260/3),BF260)</f>
        <v>0</v>
      </c>
      <c r="BH260" s="5">
        <f>IF(BG260*AY260&gt;AL260+AZ260,BG260*AY260-AL260-AZ260,0)</f>
        <v>0</v>
      </c>
      <c r="BI260" s="5">
        <f>IF(M260/1.6&lt;8,ROUND(M260/1.6,0),8)</f>
        <v>5</v>
      </c>
      <c r="BJ260" s="15">
        <f>(AH260+AP260+AZ260)*BA260+0.1*BH260</f>
        <v>25.24592156961413</v>
      </c>
      <c r="BK260" s="11">
        <v>1.22</v>
      </c>
      <c r="BL260" s="5">
        <f>M260*0.2</f>
        <v>1.6</v>
      </c>
      <c r="BM260" s="5">
        <f>ROUNDDOWN(M260/2.13,0)</f>
        <v>3</v>
      </c>
      <c r="BN260" s="12">
        <f>M260/4.26</f>
        <v>1.877934272300469</v>
      </c>
      <c r="BO260" s="5">
        <f>IF(M260&lt;8,1.22,IF(M260&lt;15.2,0.108333*M260+0.353,2))</f>
        <v>1.219664</v>
      </c>
      <c r="BP260" s="7">
        <f>IF(BK260&lt;BO260,1+0.3*(BO260-BK260)/M260,1)</f>
        <v>1</v>
      </c>
      <c r="BQ260" s="32"/>
      <c r="BR260" s="39">
        <v>0</v>
      </c>
      <c r="BS260" t="s" s="24">
        <v>154</v>
      </c>
      <c r="BT260" s="36"/>
      <c r="BU260" s="36"/>
      <c r="BV260" s="15">
        <f>IF(BQ260&lt;(M260/0.3048)^0.5,1,IF(BU260="x",1-BR260*0.02,IF(BT260="x",1-BR260*0.01,1)))</f>
        <v>1</v>
      </c>
      <c r="BW260" s="7">
        <f>IF(K260="x",MIN(1.315,1.28+U260*N260/BJ260/AR260/1100),IF(L260="x",1.28,MAX(1.245,1.28-U260*N260/BJ260/AR260/1100)))</f>
        <v>1.28</v>
      </c>
      <c r="BX260" s="41">
        <f>BW260*T260*BV260*BP260*N260^0.3*BJ260^0.4/V260^0.325</f>
        <v>0.9325506821724933</v>
      </c>
      <c r="BY260" s="3"/>
      <c r="BZ260" s="3"/>
      <c r="CA260" t="s" s="31">
        <v>253</v>
      </c>
      <c r="CB260" s="87">
        <v>36308</v>
      </c>
      <c r="CC260" t="s" s="19">
        <v>254</v>
      </c>
      <c r="CD260" s="8"/>
      <c r="CE260" s="3"/>
      <c r="CF260" s="3"/>
      <c r="CG260" t="s" s="30">
        <f>A260</f>
        <v>1617</v>
      </c>
    </row>
    <row r="261" ht="12.75" customHeight="1">
      <c r="A261" t="s" s="25">
        <v>1618</v>
      </c>
      <c r="B261" t="s" s="19">
        <v>574</v>
      </c>
      <c r="C261" t="s" s="19">
        <v>169</v>
      </c>
      <c r="D261" t="s" s="19">
        <v>169</v>
      </c>
      <c r="E261" t="s" s="19">
        <v>1619</v>
      </c>
      <c r="F261" t="s" s="19">
        <v>1620</v>
      </c>
      <c r="G261" t="s" s="19">
        <v>1621</v>
      </c>
      <c r="H261" s="32"/>
      <c r="I261" s="32"/>
      <c r="J261" s="36"/>
      <c r="K261" t="s" s="24">
        <v>154</v>
      </c>
      <c r="L261" s="36"/>
      <c r="M261" s="11">
        <v>7.1</v>
      </c>
      <c r="N261" s="5">
        <v>7.1</v>
      </c>
      <c r="O261" s="11">
        <v>5.2</v>
      </c>
      <c r="P261" s="11"/>
      <c r="Q261" s="37"/>
      <c r="R261" s="43">
        <v>1.3</v>
      </c>
      <c r="S261" s="36"/>
      <c r="T261" s="38">
        <f>IF(S261&gt;0,1.048,IF(R261&gt;0,1.048,IF(Q261&gt;0,1.036,0.907+1.55*(P261/N261)-4.449*(P261/N261)^2)))</f>
        <v>1.048</v>
      </c>
      <c r="U261" s="39">
        <v>750</v>
      </c>
      <c r="V261" s="40">
        <f>IF(H261="x",75+U261,IF(M261&lt;6.66,150+U261,-1.7384*M261^2+92.38*M261-388+U261))</f>
        <v>930.2652559999999</v>
      </c>
      <c r="W261" s="5">
        <v>3.85</v>
      </c>
      <c r="X261" s="5">
        <v>3.83</v>
      </c>
      <c r="Y261" s="5">
        <v>3.8</v>
      </c>
      <c r="Z261" s="5">
        <v>3.53</v>
      </c>
      <c r="AA261" s="5">
        <v>1.88</v>
      </c>
      <c r="AB261" s="5">
        <v>0</v>
      </c>
      <c r="AC261" s="5">
        <v>9.19</v>
      </c>
      <c r="AD261" s="33"/>
      <c r="AE261" s="5">
        <f>IF(AD261=0,(W261+4*X261+2*Y261+4*Z261+AA261)*AC261/12+W261*AB261/1.5,AD261)</f>
        <v>32.75469166666667</v>
      </c>
      <c r="AF261" s="11">
        <v>9.390000000000001</v>
      </c>
      <c r="AG261" s="11"/>
      <c r="AH261" s="5">
        <f>IF(AC261=0,AE261+AF261*AG261/2,AE261+AC261*AG261/2)</f>
        <v>32.75469166666667</v>
      </c>
      <c r="AI261" s="3"/>
      <c r="AJ261" s="3"/>
      <c r="AK261" s="33"/>
      <c r="AL261" s="5">
        <f>IF(AK261=0,AI261*AJ261/2,AK261)</f>
        <v>0</v>
      </c>
      <c r="AM261" s="3"/>
      <c r="AN261" s="5"/>
      <c r="AO261" s="5"/>
      <c r="AP261" s="5">
        <f>AL261+AI261*(AN261-AO261)/2</f>
        <v>0</v>
      </c>
      <c r="AQ261" s="5">
        <f>0.1*(AE261+AL261)</f>
        <v>3.275469166666667</v>
      </c>
      <c r="AR261" s="11">
        <v>10</v>
      </c>
      <c r="AS261" s="11"/>
      <c r="AT261" s="11"/>
      <c r="AU261" s="11"/>
      <c r="AV261" s="33"/>
      <c r="AW261" s="5">
        <f>IF(AV261=0,AS261/6*(AT261+AU261*4),AV261)</f>
        <v>0</v>
      </c>
      <c r="AX261" s="11">
        <v>1.39</v>
      </c>
      <c r="AY261" s="5">
        <f>IF(AX261&lt;0.149*M261+0.329,1,AX261/(0.149*M261+0.329))</f>
        <v>1.002235200807557</v>
      </c>
      <c r="AZ261" s="5">
        <f>IF(AW261*AY261&gt;AL261,(AW261*AY261-AL261)/4,0)</f>
        <v>0</v>
      </c>
      <c r="BA261" s="12">
        <f>0.401+0.1831*(2*AR261^2/(AH261+AP261+AZ261))-0.02016*(2*AR261^2/(AH261+AP261+AZ261))^2+0.0007472*(2*AR261^2/(AH261+AP261+AZ261))^3</f>
        <v>0.9374796253614804</v>
      </c>
      <c r="BB261" s="5">
        <v>6.2</v>
      </c>
      <c r="BC261" s="5">
        <v>11.42</v>
      </c>
      <c r="BD261" s="5">
        <v>9.73</v>
      </c>
      <c r="BE261" s="5">
        <v>5.12</v>
      </c>
      <c r="BF261" s="33">
        <v>0</v>
      </c>
      <c r="BG261" s="5">
        <f>IF(BF261=0,(BC261+BD261)*(BB261/12+BE261/3),BF261)</f>
        <v>47.02350000000001</v>
      </c>
      <c r="BH261" s="5">
        <f>IF(BG261*AY261&gt;AL261+AZ261,BG261*AY261-AL261-AZ261,0)</f>
        <v>47.12860696517414</v>
      </c>
      <c r="BI261" s="5">
        <f>IF(M261/1.6&lt;8,ROUND(M261/1.6,0),8)</f>
        <v>4</v>
      </c>
      <c r="BJ261" s="5">
        <f>(AH261+AP261+AZ261)*BA261+0.1*BH261</f>
        <v>35.41971676901489</v>
      </c>
      <c r="BK261" s="11">
        <v>1.3</v>
      </c>
      <c r="BL261" s="5">
        <f>M261*0.2</f>
        <v>1.42</v>
      </c>
      <c r="BM261" s="5">
        <f>ROUNDDOWN(M261/2.13,0)</f>
        <v>3</v>
      </c>
      <c r="BN261" s="12">
        <f>M261/4.26</f>
        <v>1.666666666666667</v>
      </c>
      <c r="BO261" s="5">
        <f>IF(M261&lt;8,1.22,IF(M261&lt;15.2,0.108333*M261+0.353,2))</f>
        <v>1.22</v>
      </c>
      <c r="BP261" s="12">
        <f>IF(BK261&lt;BO261,1+0.3*(BO261-BK261)/M261,1)</f>
        <v>1</v>
      </c>
      <c r="BQ261" s="39">
        <v>5</v>
      </c>
      <c r="BR261" s="32"/>
      <c r="BS261" t="s" s="24">
        <v>154</v>
      </c>
      <c r="BT261" s="36"/>
      <c r="BU261" s="36"/>
      <c r="BV261" s="5">
        <f>IF(BQ261&lt;(M261/0.3048)^0.5,1,IF(BU261="x",1-BR261*0.02,IF(BT261="x",1-BR261*0.01,1)))</f>
        <v>1</v>
      </c>
      <c r="BW261" s="12">
        <f>IF(K261="x",MIN(1.315,1.28+U261*N261/BJ261/AR261/1100),IF(L261="x",1.28,MAX(1.245,1.28-U261*N261/BJ261/AR261/1100)))</f>
        <v>1.293667272165044</v>
      </c>
      <c r="BX261" s="41">
        <f>BW261*T261*BV261*BP261*N261^0.3*BJ261^0.4/V261^0.325</f>
        <v>1.102712256813842</v>
      </c>
      <c r="BY261" s="29"/>
      <c r="BZ261" s="29"/>
      <c r="CA261" t="s" s="19">
        <v>188</v>
      </c>
      <c r="CB261" s="46">
        <v>39905</v>
      </c>
      <c r="CC261" t="s" s="19">
        <v>180</v>
      </c>
      <c r="CD261" s="3"/>
      <c r="CE261" s="3"/>
      <c r="CF261" s="3"/>
      <c r="CG261" t="s" s="30">
        <f>A261</f>
        <v>1622</v>
      </c>
    </row>
    <row r="262" ht="12.75" customHeight="1">
      <c r="A262" t="s" s="25">
        <v>1623</v>
      </c>
      <c r="B262" t="s" s="19">
        <v>542</v>
      </c>
      <c r="C262" t="s" s="19">
        <v>344</v>
      </c>
      <c r="D262" t="s" s="19">
        <v>345</v>
      </c>
      <c r="E262" t="s" s="19">
        <v>1624</v>
      </c>
      <c r="F262" t="s" s="19">
        <v>1625</v>
      </c>
      <c r="G262" s="3"/>
      <c r="H262" s="32"/>
      <c r="I262" s="32"/>
      <c r="J262" s="36"/>
      <c r="K262" t="s" s="24">
        <v>154</v>
      </c>
      <c r="L262" s="36"/>
      <c r="M262" s="11">
        <v>8.26</v>
      </c>
      <c r="N262" s="5">
        <v>8.130000000000001</v>
      </c>
      <c r="O262" s="11">
        <v>5.8</v>
      </c>
      <c r="P262" s="11"/>
      <c r="Q262" s="37"/>
      <c r="R262" s="43">
        <v>1.5</v>
      </c>
      <c r="S262" s="36"/>
      <c r="T262" s="38">
        <f>IF(S262&gt;0,1.048,IF(R262&gt;0,1.048,IF(Q262&gt;0,1.036,0.907+1.55*(P262/N262)-4.449*(P262/N262)^2)))</f>
        <v>1.048</v>
      </c>
      <c r="U262" s="39">
        <v>1200</v>
      </c>
      <c r="V262" s="40">
        <f>IF(H262="x",75+U262,IF(M262&lt;6.66,150+U262,-1.7384*M262^2+92.38*M262-388+U262))</f>
        <v>1456.45194016</v>
      </c>
      <c r="W262" s="5"/>
      <c r="X262" s="5"/>
      <c r="Y262" s="5"/>
      <c r="Z262" s="5"/>
      <c r="AA262" s="5"/>
      <c r="AB262" s="5"/>
      <c r="AC262" s="5">
        <v>10.06</v>
      </c>
      <c r="AD262" s="33">
        <v>29.45</v>
      </c>
      <c r="AE262" s="5">
        <f>IF(AD262=0,(W262+4*X262+2*Y262+4*Z262+AA262)*AC262/12+W262*AB262/1.5,AD262)</f>
        <v>29.45</v>
      </c>
      <c r="AF262" s="11">
        <v>11.48</v>
      </c>
      <c r="AG262" s="11"/>
      <c r="AH262" s="5">
        <f>IF(AC262=0,AE262+AF262*AG262/2,AE262+AC262*AG262/2)</f>
        <v>29.45</v>
      </c>
      <c r="AI262" s="5">
        <v>9.6</v>
      </c>
      <c r="AJ262" s="3"/>
      <c r="AK262" s="33">
        <v>21.25</v>
      </c>
      <c r="AL262" s="5">
        <f>IF(AK262=0,AI262*AJ262/2,AK262)</f>
        <v>21.25</v>
      </c>
      <c r="AM262" s="3"/>
      <c r="AN262" s="5"/>
      <c r="AO262" s="5">
        <v>0.1</v>
      </c>
      <c r="AP262" s="5">
        <f>AL262+AI262*(AN262-AO262)/2</f>
        <v>20.77</v>
      </c>
      <c r="AQ262" s="5">
        <f>0.1*(AE262+AL262)</f>
        <v>5.07</v>
      </c>
      <c r="AR262" s="11">
        <v>11.48</v>
      </c>
      <c r="AS262" s="11"/>
      <c r="AT262" s="11"/>
      <c r="AU262" s="11"/>
      <c r="AV262" s="33">
        <v>35</v>
      </c>
      <c r="AW262" s="5">
        <f>IF(AV262=0,AS262/6*(AT262+AU262*4),AV262)</f>
        <v>35</v>
      </c>
      <c r="AX262" s="11">
        <v>0.9</v>
      </c>
      <c r="AY262" s="5">
        <f>IF(AX262&lt;0.149*M262+0.329,1,AX262/(0.149*M262+0.329))</f>
        <v>1</v>
      </c>
      <c r="AZ262" s="5">
        <f>IF(AW262*AY262&gt;AL262,(AW262*AY262-AL262)/4,0)</f>
        <v>3.4375</v>
      </c>
      <c r="BA262" s="12">
        <f>0.401+0.1831*(2*AR262^2/(AH262+AP262+AZ262))-0.02016*(2*AR262^2/(AH262+AP262+AZ262))^2+0.0007472*(2*AR262^2/(AH262+AP262+AZ262))^3</f>
        <v>0.902537702113994</v>
      </c>
      <c r="BB262" s="3"/>
      <c r="BC262" s="3"/>
      <c r="BD262" s="3"/>
      <c r="BE262" s="3"/>
      <c r="BF262" s="33">
        <v>71.7</v>
      </c>
      <c r="BG262" s="5">
        <f>IF(BF262=0,(BC262+BD262)*(BB262/12+BE262/3),BF262)</f>
        <v>71.7</v>
      </c>
      <c r="BH262" s="5">
        <f>IF(BG262*AY262&gt;AL262+AZ262,BG262*AY262-AL262-AZ262,0)</f>
        <v>47.0125</v>
      </c>
      <c r="BI262" s="5">
        <f>IF(M262/1.6&lt;8,ROUND(M262/1.6,0),8)</f>
        <v>5</v>
      </c>
      <c r="BJ262" s="5">
        <f>(AH262+AP262+AZ262)*BA262+0.1*BH262</f>
        <v>53.12916675118164</v>
      </c>
      <c r="BK262" s="11">
        <v>1.5</v>
      </c>
      <c r="BL262" s="5">
        <f>M262*0.2</f>
        <v>1.652</v>
      </c>
      <c r="BM262" s="5">
        <f>ROUNDDOWN(M262/2.13,0)</f>
        <v>3</v>
      </c>
      <c r="BN262" s="12">
        <f>M262/4.26</f>
        <v>1.938967136150235</v>
      </c>
      <c r="BO262" s="5">
        <f>IF(M262&lt;8,1.22,IF(M262&lt;15.2,0.108333*M262+0.353,2))</f>
        <v>1.24783058</v>
      </c>
      <c r="BP262" s="12">
        <f>IF(BK262&lt;BO262,1+0.3*(BO262-BK262)/M262,1)</f>
        <v>1</v>
      </c>
      <c r="BQ262" s="39">
        <v>6.5</v>
      </c>
      <c r="BR262" s="39">
        <v>1</v>
      </c>
      <c r="BS262" t="s" s="24">
        <v>154</v>
      </c>
      <c r="BT262" s="36"/>
      <c r="BU262" s="36"/>
      <c r="BV262" s="5">
        <f>IF(BQ262&lt;(M262/0.3048)^0.5,1,IF(BU262="x",1-BR262*0.02,IF(BT262="x",1-BR262*0.01,1)))</f>
        <v>1</v>
      </c>
      <c r="BW262" s="12">
        <f>IF(K262="x",MIN(1.315,1.28+U262*N262/BJ262/AR262/1100),IF(L262="x",1.28,MAX(1.245,1.28-U262*N262/BJ262/AR262/1100)))</f>
        <v>1.294541332788791</v>
      </c>
      <c r="BX262" s="41">
        <f>BW262*T262*BV262*BP262*N262^0.3*BJ262^0.4/V262^0.325</f>
        <v>1.168332124164648</v>
      </c>
      <c r="BY262" s="29"/>
      <c r="BZ262" s="29"/>
      <c r="CA262" s="3"/>
      <c r="CB262" s="3"/>
      <c r="CC262" s="3"/>
      <c r="CD262" s="3"/>
      <c r="CE262" s="3"/>
      <c r="CF262" s="3"/>
      <c r="CG262" t="s" s="30">
        <f>A262</f>
        <v>1626</v>
      </c>
    </row>
    <row r="263" ht="12.75" customHeight="1">
      <c r="A263" t="s" s="25">
        <v>1627</v>
      </c>
      <c r="B263" t="s" s="19">
        <v>1628</v>
      </c>
      <c r="C263" t="s" s="19">
        <v>1629</v>
      </c>
      <c r="D263" s="3"/>
      <c r="E263" t="s" s="19">
        <v>1630</v>
      </c>
      <c r="F263" s="3"/>
      <c r="G263" s="3"/>
      <c r="H263" s="32"/>
      <c r="I263" s="32"/>
      <c r="J263" t="s" s="24">
        <v>154</v>
      </c>
      <c r="K263" s="36"/>
      <c r="L263" s="36"/>
      <c r="M263" s="11">
        <v>9.15</v>
      </c>
      <c r="N263" s="5">
        <v>9.15</v>
      </c>
      <c r="O263" s="11">
        <v>5.63</v>
      </c>
      <c r="P263" s="11">
        <v>0.78</v>
      </c>
      <c r="Q263" s="37"/>
      <c r="R263" s="36"/>
      <c r="S263" s="36"/>
      <c r="T263" s="38">
        <f>IF(S263&gt;0,1.048,IF(R263&gt;0,1.048,IF(Q263&gt;0,1.036,0.907+1.55*(P263/N263)-4.449*(P263/N263)^2)))</f>
        <v>1.006800870733674</v>
      </c>
      <c r="U263" s="39">
        <v>2400</v>
      </c>
      <c r="V263" s="40">
        <f>IF(H263="x",75+U263,IF(M263&lt;6.66,150+U263,-1.7384*M263^2+92.38*M263-388+U263))</f>
        <v>2711.733806</v>
      </c>
      <c r="W263" s="5"/>
      <c r="X263" s="5"/>
      <c r="Y263" s="5"/>
      <c r="Z263" s="5"/>
      <c r="AA263" s="5"/>
      <c r="AB263" s="5"/>
      <c r="AC263" s="5">
        <v>11.5</v>
      </c>
      <c r="AD263" s="33">
        <v>29.4</v>
      </c>
      <c r="AE263" s="5">
        <f>IF(AD263=0,(W263+4*X263+2*Y263+4*Z263+AA263)*AC263/12+W263*AB263/1.5,AD263)</f>
        <v>29.4</v>
      </c>
      <c r="AF263" s="11">
        <v>12.5</v>
      </c>
      <c r="AG263" s="11">
        <v>0.48</v>
      </c>
      <c r="AH263" s="5">
        <f>IF(AC263=0,AE263+AF263*AG263/2,AE263+AC263*AG263/2)</f>
        <v>32.16</v>
      </c>
      <c r="AI263" s="3"/>
      <c r="AJ263" s="3"/>
      <c r="AK263" s="33">
        <v>17.8</v>
      </c>
      <c r="AL263" s="5">
        <f>IF(AK263=0,AI263*AJ263/2,AK263)</f>
        <v>17.8</v>
      </c>
      <c r="AM263" s="3"/>
      <c r="AN263" s="5"/>
      <c r="AO263" s="5"/>
      <c r="AP263" s="5">
        <f>AL263+AI263*(AN263-AO263)/2</f>
        <v>17.8</v>
      </c>
      <c r="AQ263" s="5">
        <f>0.1*(AE263+AL263)</f>
        <v>4.720000000000001</v>
      </c>
      <c r="AR263" s="11">
        <v>12.5</v>
      </c>
      <c r="AS263" s="11"/>
      <c r="AT263" s="11"/>
      <c r="AU263" s="11"/>
      <c r="AV263" s="33">
        <v>0</v>
      </c>
      <c r="AW263" s="5">
        <f>IF(AV263=0,AS263/6*(AT263+AU263*4),AV263)</f>
        <v>0</v>
      </c>
      <c r="AX263" s="11">
        <v>0</v>
      </c>
      <c r="AY263" s="5">
        <f>IF(AX263&lt;0.149*M263+0.329,1,AX263/(0.149*M263+0.329))</f>
        <v>1</v>
      </c>
      <c r="AZ263" s="5">
        <f>IF(AW263*AY263&gt;AL263,(AW263*AY263-AL263)/4,0)</f>
        <v>0</v>
      </c>
      <c r="BA263" s="12">
        <f>0.401+0.1831*(2*AR263^2/(AH263+AP263+AZ263))-0.02016*(2*AR263^2/(AH263+AP263+AZ263))^2+0.0007472*(2*AR263^2/(AH263+AP263+AZ263))^3</f>
        <v>0.9403901083070969</v>
      </c>
      <c r="BB263" s="3"/>
      <c r="BC263" s="3"/>
      <c r="BD263" s="3"/>
      <c r="BE263" s="3"/>
      <c r="BF263" s="33">
        <v>60</v>
      </c>
      <c r="BG263" s="5">
        <f>IF(BF263=0,(BC263+BD263)*(BB263/12+BE263/3),BF263)</f>
        <v>60</v>
      </c>
      <c r="BH263" s="5">
        <f>IF(BG263*AY263&gt;AL263+AZ263,BG263*AY263-AL263-AZ263,0)</f>
        <v>42.2</v>
      </c>
      <c r="BI263" s="5">
        <f>IF(M263/1.6&lt;8,ROUND(M263/1.6,0),8)</f>
        <v>6</v>
      </c>
      <c r="BJ263" s="5">
        <f>(AH263+AP263+AZ263)*BA263+0.1*BH263</f>
        <v>51.20188981102255</v>
      </c>
      <c r="BK263" s="11">
        <v>1.8</v>
      </c>
      <c r="BL263" s="5">
        <f>M263*0.2</f>
        <v>1.83</v>
      </c>
      <c r="BM263" s="5">
        <f>ROUNDDOWN(M263/2.13,0)</f>
        <v>4</v>
      </c>
      <c r="BN263" s="12">
        <f>M263/4.26</f>
        <v>2.147887323943662</v>
      </c>
      <c r="BO263" s="5">
        <f>IF(M263&lt;8,1.22,IF(M263&lt;15.2,0.108333*M263+0.353,2))</f>
        <v>1.34424695</v>
      </c>
      <c r="BP263" s="12">
        <f>IF(BK263&lt;BO263,1+0.3*(BO263-BK263)/M263,1)</f>
        <v>1</v>
      </c>
      <c r="BQ263" s="32"/>
      <c r="BR263" s="39">
        <v>0</v>
      </c>
      <c r="BS263" t="s" s="24">
        <v>154</v>
      </c>
      <c r="BT263" s="36"/>
      <c r="BU263" s="36"/>
      <c r="BV263" s="5">
        <f>IF(BQ263&lt;(M263/0.3048)^0.5,1,IF(BU263="x",1-BR263*0.02,IF(BT263="x",1-BR263*0.01,1)))</f>
        <v>1</v>
      </c>
      <c r="BW263" s="12">
        <f>IF(K263="x",MIN(1.315,1.28+U263*N263/BJ263/AR263/1100),IF(L263="x",1.28,MAX(1.245,1.28-U263*N263/BJ263/AR263/1100)))</f>
        <v>1.248807969491253</v>
      </c>
      <c r="BX263" s="41">
        <f>BW263*T263*BV263*BP263*N263^0.3*BJ263^0.4/V263^0.325</f>
        <v>0.90318075607486</v>
      </c>
      <c r="BY263" s="29"/>
      <c r="BZ263" s="29"/>
      <c r="CA263" t="s" s="19">
        <v>213</v>
      </c>
      <c r="CB263" t="s" s="19">
        <v>357</v>
      </c>
      <c r="CC263" t="s" s="19">
        <v>164</v>
      </c>
      <c r="CD263" t="s" s="19">
        <v>1631</v>
      </c>
      <c r="CE263" s="3"/>
      <c r="CF263" s="3"/>
      <c r="CG263" t="s" s="30">
        <f>A263</f>
        <v>1632</v>
      </c>
    </row>
    <row r="264" ht="12.75" customHeight="1">
      <c r="A264" t="s" s="25">
        <v>1633</v>
      </c>
      <c r="B264" t="s" s="19">
        <v>1634</v>
      </c>
      <c r="C264" t="s" s="19">
        <v>475</v>
      </c>
      <c r="D264" t="s" s="19">
        <v>169</v>
      </c>
      <c r="E264" t="s" s="19">
        <v>1635</v>
      </c>
      <c r="F264" t="s" s="19">
        <v>1636</v>
      </c>
      <c r="G264" s="3"/>
      <c r="H264" s="32"/>
      <c r="I264" s="32"/>
      <c r="J264" t="s" s="24">
        <v>154</v>
      </c>
      <c r="K264" s="36"/>
      <c r="L264" s="36"/>
      <c r="M264" s="11">
        <v>10.16</v>
      </c>
      <c r="N264" s="5">
        <v>10.1</v>
      </c>
      <c r="O264" s="11">
        <v>5.76</v>
      </c>
      <c r="P264" s="11">
        <v>0.85</v>
      </c>
      <c r="Q264" s="37"/>
      <c r="R264" s="36"/>
      <c r="S264" s="36"/>
      <c r="T264" s="38">
        <f>IF(S264&gt;0,1.048,IF(R264&gt;0,1.048,IF(Q264&gt;0,1.036,0.907+1.55*(P264/N264)-4.449*(P264/N264)^2)))</f>
        <v>1.005934883834918</v>
      </c>
      <c r="U264" s="39">
        <v>3700</v>
      </c>
      <c r="V264" s="40">
        <f>IF(H264="x",75+U264,IF(M264&lt;6.66,150+U264,-1.7384*M264^2+92.38*M264-388+U264))</f>
        <v>4071.13341696</v>
      </c>
      <c r="W264" s="5"/>
      <c r="X264" s="5"/>
      <c r="Y264" s="5"/>
      <c r="Z264" s="5"/>
      <c r="AA264" s="5"/>
      <c r="AB264" s="5"/>
      <c r="AC264" s="5">
        <v>12</v>
      </c>
      <c r="AD264" s="33">
        <v>38.44</v>
      </c>
      <c r="AE264" s="5">
        <f>IF(AD264=0,(W264+4*X264+2*Y264+4*Z264+AA264)*AC264/12+W264*AB264/1.5,AD264)</f>
        <v>38.44</v>
      </c>
      <c r="AF264" s="11">
        <v>13.3</v>
      </c>
      <c r="AG264" s="11"/>
      <c r="AH264" s="5">
        <f>IF(AC264=0,AE264+AF264*AG264/2,AE264+AC264*AG264/2)</f>
        <v>38.44</v>
      </c>
      <c r="AI264" s="5">
        <v>11.1</v>
      </c>
      <c r="AJ264" s="3"/>
      <c r="AK264" s="33">
        <v>23.3</v>
      </c>
      <c r="AL264" s="5">
        <f>IF(AK264=0,AI264*AJ264/2,AK264)</f>
        <v>23.3</v>
      </c>
      <c r="AM264" s="3"/>
      <c r="AN264" s="5"/>
      <c r="AO264" s="5">
        <v>0.106</v>
      </c>
      <c r="AP264" s="5">
        <f>AL264+AI264*(AN264-AO264)/2</f>
        <v>22.7117</v>
      </c>
      <c r="AQ264" s="5">
        <f>0.1*(AE264+AL264)</f>
        <v>6.173999999999999</v>
      </c>
      <c r="AR264" s="11">
        <v>13.6</v>
      </c>
      <c r="AS264" s="11"/>
      <c r="AT264" s="11"/>
      <c r="AU264" s="11"/>
      <c r="AV264" s="33">
        <v>44</v>
      </c>
      <c r="AW264" s="5">
        <f>IF(AV264=0,AS264/6*(AT264+AU264*4),AV264)</f>
        <v>44</v>
      </c>
      <c r="AX264" s="11">
        <v>0</v>
      </c>
      <c r="AY264" s="5">
        <f>IF(AX264&lt;0.149*M264+0.329,1,AX264/(0.149*M264+0.329))</f>
        <v>1</v>
      </c>
      <c r="AZ264" s="5">
        <f>IF(AW264*AY264&gt;AL264,(AW264*AY264-AL264)/4,0)</f>
        <v>5.175</v>
      </c>
      <c r="BA264" s="12">
        <f>0.401+0.1831*(2*AR264^2/(AH264+AP264+AZ264))-0.02016*(2*AR264^2/(AH264+AP264+AZ264))^2+0.0007472*(2*AR264^2/(AH264+AP264+AZ264))^3</f>
        <v>0.9247304775588987</v>
      </c>
      <c r="BB264" s="3"/>
      <c r="BC264" s="3"/>
      <c r="BD264" s="3"/>
      <c r="BE264" s="3"/>
      <c r="BF264" s="33">
        <v>65</v>
      </c>
      <c r="BG264" s="5">
        <f>IF(BF264=0,(BC264+BD264)*(BB264/12+BE264/3),BF264)</f>
        <v>65</v>
      </c>
      <c r="BH264" s="5">
        <f>IF(BG264*AY264&gt;AL264+AZ264,BG264*AY264-AL264-AZ264,0)</f>
        <v>36.52500000000001</v>
      </c>
      <c r="BI264" s="5">
        <f>IF(M264/1.6&lt;8,ROUND(M264/1.6,0),8)</f>
        <v>6</v>
      </c>
      <c r="BJ264" s="5">
        <f>(AH264+AP264+AZ264)*BA264+0.1*BH264</f>
        <v>64.98682096590581</v>
      </c>
      <c r="BK264" s="11">
        <v>1.78</v>
      </c>
      <c r="BL264" s="5">
        <f>M264*0.2</f>
        <v>2.032</v>
      </c>
      <c r="BM264" s="5">
        <f>ROUNDDOWN(M264/2.13,0)</f>
        <v>4</v>
      </c>
      <c r="BN264" s="12">
        <f>M264/4.26</f>
        <v>2.384976525821596</v>
      </c>
      <c r="BO264" s="5">
        <f>IF(M264&lt;8,1.22,IF(M264&lt;15.2,0.108333*M264+0.353,2))</f>
        <v>1.45366328</v>
      </c>
      <c r="BP264" s="12">
        <f>IF(BK264&lt;BO264,1+0.3*(BO264-BK264)/M264,1)</f>
        <v>1</v>
      </c>
      <c r="BQ264" s="39">
        <v>5</v>
      </c>
      <c r="BR264" s="39">
        <v>0</v>
      </c>
      <c r="BS264" t="s" s="24">
        <v>154</v>
      </c>
      <c r="BT264" s="36"/>
      <c r="BU264" s="36"/>
      <c r="BV264" s="5">
        <f>IF(BQ264&lt;(M264/0.3048)^0.5,1,IF(BU264="x",1-BR264*0.02,IF(BT264="x",1-BR264*0.01,1)))</f>
        <v>1</v>
      </c>
      <c r="BW264" s="12">
        <f>IF(K264="x",MIN(1.315,1.28+U264*N264/BJ264/AR264/1100),IF(L264="x",1.28,MAX(1.245,1.28-U264*N264/BJ264/AR264/1100)))</f>
        <v>1.245</v>
      </c>
      <c r="BX264" s="41">
        <f>BW264*T264*BV264*BP264*N264^0.3*BJ264^0.4/V264^0.325</f>
        <v>0.893322485498058</v>
      </c>
      <c r="BY264" s="29"/>
      <c r="BZ264" s="29"/>
      <c r="CA264" t="s" s="19">
        <v>188</v>
      </c>
      <c r="CB264" s="42">
        <v>2008</v>
      </c>
      <c r="CC264" t="s" s="19">
        <v>164</v>
      </c>
      <c r="CD264" s="3"/>
      <c r="CE264" s="3"/>
      <c r="CF264" s="3"/>
      <c r="CG264" t="s" s="30">
        <f>A264</f>
        <v>1637</v>
      </c>
    </row>
    <row r="265" ht="12.75" customHeight="1">
      <c r="A265" t="s" s="25">
        <v>1638</v>
      </c>
      <c r="B265" t="s" s="19">
        <v>1639</v>
      </c>
      <c r="C265" t="s" s="19">
        <v>1640</v>
      </c>
      <c r="D265" t="s" s="19">
        <v>1641</v>
      </c>
      <c r="E265" t="s" s="19">
        <v>1642</v>
      </c>
      <c r="F265" s="3"/>
      <c r="G265" s="3"/>
      <c r="H265" s="32"/>
      <c r="I265" s="32"/>
      <c r="J265" t="s" s="24">
        <v>154</v>
      </c>
      <c r="K265" s="36"/>
      <c r="L265" s="36"/>
      <c r="M265" s="11">
        <v>7.06</v>
      </c>
      <c r="N265" s="5">
        <v>6.8</v>
      </c>
      <c r="O265" s="11"/>
      <c r="P265" s="11"/>
      <c r="Q265" t="s" s="24">
        <v>161</v>
      </c>
      <c r="R265" s="36"/>
      <c r="S265" s="36"/>
      <c r="T265" s="38">
        <f>IF(S265&gt;0,1.048,IF(R265&gt;0,1.048,IF(Q265&gt;0,1.036,0.907+1.55*(P265/N265)-4.449*(P265/N265)^2)))</f>
        <v>1.036</v>
      </c>
      <c r="U265" s="39">
        <v>350</v>
      </c>
      <c r="V265" s="40">
        <f>IF(H265="x",75+U265,IF(M265&lt;6.66,150+U265,-1.7384*M265^2+92.38*M265-388+U265))</f>
        <v>527.55468576</v>
      </c>
      <c r="W265" s="5"/>
      <c r="X265" s="5"/>
      <c r="Y265" s="5"/>
      <c r="Z265" s="5"/>
      <c r="AA265" s="5"/>
      <c r="AB265" s="5"/>
      <c r="AC265" s="5">
        <v>10</v>
      </c>
      <c r="AD265" s="33">
        <v>25.14</v>
      </c>
      <c r="AE265" s="5">
        <f>IF(AD265=0,(W265+4*X265+2*Y265+4*Z265+AA265)*AC265/12+W265*AB265/1.5,AD265)</f>
        <v>25.14</v>
      </c>
      <c r="AF265" s="11">
        <v>11.02</v>
      </c>
      <c r="AG265" s="11">
        <v>0.38</v>
      </c>
      <c r="AH265" s="5">
        <f>IF(AC265=0,AE265+AF265*AG265/2,AE265+AC265*AG265/2)</f>
        <v>27.04</v>
      </c>
      <c r="AI265" s="3"/>
      <c r="AJ265" s="3"/>
      <c r="AK265" s="33">
        <v>9.380000000000001</v>
      </c>
      <c r="AL265" s="5">
        <f>IF(AK265=0,AI265*AJ265/2,AK265)</f>
        <v>9.380000000000001</v>
      </c>
      <c r="AM265" s="3"/>
      <c r="AN265" s="5"/>
      <c r="AO265" s="5"/>
      <c r="AP265" s="5">
        <f>AL265+AI265*(AN265-AO265)/2</f>
        <v>9.380000000000001</v>
      </c>
      <c r="AQ265" s="5">
        <f>0.1*(AE265+AL265)</f>
        <v>3.452</v>
      </c>
      <c r="AR265" s="11">
        <v>11.02</v>
      </c>
      <c r="AS265" s="11"/>
      <c r="AT265" s="11"/>
      <c r="AU265" s="11"/>
      <c r="AV265" s="33"/>
      <c r="AW265" s="5">
        <f>IF(AV265=0,AS265/6*(AT265+AU265*4),AV265)</f>
        <v>0</v>
      </c>
      <c r="AX265" s="11"/>
      <c r="AY265" s="5">
        <f>IF(AX265&lt;0.149*M265+0.329,1,AX265/(0.149*M265+0.329))</f>
        <v>1</v>
      </c>
      <c r="AZ265" s="5">
        <f>IF(AW265*AY265&gt;AL265,(AW265*AY265-AL265)/4,0)</f>
        <v>0</v>
      </c>
      <c r="BA265" s="12">
        <f>0.401+0.1831*(2*AR265^2/(AH265+AP265+AZ265))-0.02016*(2*AR265^2/(AH265+AP265+AZ265))^2+0.0007472*(2*AR265^2/(AH265+AP265+AZ265))^3</f>
        <v>0.9470901307569251</v>
      </c>
      <c r="BB265" s="3"/>
      <c r="BC265" s="3"/>
      <c r="BD265" s="3"/>
      <c r="BE265" s="3"/>
      <c r="BF265" s="33"/>
      <c r="BG265" s="5">
        <f>IF(BF265=0,(BC265+BD265)*(BB265/12+BE265/3),BF265)</f>
        <v>0</v>
      </c>
      <c r="BH265" s="5">
        <f>IF(BG265*AY265&gt;AL265+AZ265,BG265*AY265-AL265-AZ265,0)</f>
        <v>0</v>
      </c>
      <c r="BI265" s="5">
        <f>IF(M265/1.6&lt;8,ROUND(M265/1.6,0),8)</f>
        <v>4</v>
      </c>
      <c r="BJ265" s="5">
        <f>(AH265+AP265+AZ265)*BA265+0.1*BH265</f>
        <v>34.49302256216721</v>
      </c>
      <c r="BK265" s="11">
        <v>1.03</v>
      </c>
      <c r="BL265" s="5">
        <f>M265*0.2</f>
        <v>1.412</v>
      </c>
      <c r="BM265" s="5">
        <f>ROUNDDOWN(M265/2.13,0)</f>
        <v>3</v>
      </c>
      <c r="BN265" s="12">
        <f>M265/4.26</f>
        <v>1.657276995305164</v>
      </c>
      <c r="BO265" s="5">
        <f>IF(M265&lt;8,1.22,IF(M265&lt;15.2,0.108333*M265+0.353,2))</f>
        <v>1.22</v>
      </c>
      <c r="BP265" s="12">
        <f>IF(BK265&lt;BO265,1+0.3*(BO265-BK265)/M265,1)</f>
        <v>1.008073654390935</v>
      </c>
      <c r="BQ265" s="32"/>
      <c r="BR265" s="39">
        <v>0</v>
      </c>
      <c r="BS265" t="s" s="24">
        <v>154</v>
      </c>
      <c r="BT265" s="36"/>
      <c r="BU265" s="36"/>
      <c r="BV265" s="5">
        <f>IF(BQ265&lt;(M265/0.3048)^0.5,1,IF(BU265="x",1-BR265*0.02,IF(BT265="x",1-BR265*0.01,1)))</f>
        <v>1</v>
      </c>
      <c r="BW265" s="12">
        <f>IF(K265="x",MIN(1.315,1.28+U265*N265/BJ265/AR265/1100),IF(L265="x",1.28,MAX(1.245,1.28-U265*N265/BJ265/AR265/1100)))</f>
        <v>1.274307914369474</v>
      </c>
      <c r="BX265" s="41">
        <f>BW265*T265*BV265*BP265*N265^0.3*BJ265^0.4/V265^0.325</f>
        <v>1.271260762906955</v>
      </c>
      <c r="BY265" s="29"/>
      <c r="BZ265" s="29"/>
      <c r="CA265" t="s" s="19">
        <v>162</v>
      </c>
      <c r="CB265" t="s" s="19">
        <v>179</v>
      </c>
      <c r="CC265" t="s" s="19">
        <v>653</v>
      </c>
      <c r="CD265" t="s" s="19">
        <v>1643</v>
      </c>
      <c r="CE265" s="3"/>
      <c r="CF265" s="3"/>
      <c r="CG265" t="s" s="30">
        <f>A265</f>
        <v>1644</v>
      </c>
    </row>
    <row r="266" ht="12.75" customHeight="1">
      <c r="A266" t="s" s="25">
        <v>1645</v>
      </c>
      <c r="B266" t="s" s="19">
        <v>1148</v>
      </c>
      <c r="C266" t="s" s="19">
        <v>213</v>
      </c>
      <c r="D266" t="s" s="19">
        <v>440</v>
      </c>
      <c r="E266" t="s" s="19">
        <v>1646</v>
      </c>
      <c r="F266" s="3"/>
      <c r="G266" s="3"/>
      <c r="H266" s="32"/>
      <c r="I266" s="32"/>
      <c r="J266" t="s" s="24">
        <v>154</v>
      </c>
      <c r="K266" s="36"/>
      <c r="L266" s="36"/>
      <c r="M266" s="11">
        <v>16.5</v>
      </c>
      <c r="N266" s="5">
        <v>16.5</v>
      </c>
      <c r="O266" s="11">
        <v>8.9</v>
      </c>
      <c r="P266" s="11"/>
      <c r="Q266" s="37"/>
      <c r="R266" t="s" s="24">
        <v>1150</v>
      </c>
      <c r="S266" s="36"/>
      <c r="T266" s="38">
        <f>IF(S266&gt;0,1.048,IF(R266&gt;0,1.048,IF(Q266&gt;0,1.036,0.907+1.55*(P266/N266)-4.449*(P266/N266)^2)))</f>
        <v>1.048</v>
      </c>
      <c r="U266" s="39">
        <v>10700</v>
      </c>
      <c r="V266" s="40">
        <f>IF(H266="x",75+U266,IF(M266&lt;6.66,150+U266,-1.7384*M266^2+92.38*M266-388+U266))</f>
        <v>11362.9906</v>
      </c>
      <c r="W266" s="5"/>
      <c r="X266" s="5"/>
      <c r="Y266" s="5"/>
      <c r="Z266" s="5"/>
      <c r="AA266" s="5"/>
      <c r="AB266" s="5"/>
      <c r="AC266" s="5">
        <v>23.1</v>
      </c>
      <c r="AD266" s="33">
        <v>116</v>
      </c>
      <c r="AE266" s="5">
        <f>IF(AD266=0,(W266+4*X266+2*Y266+4*Z266+AA266)*AC266/12+W266*AB266/1.5,AD266)</f>
        <v>116</v>
      </c>
      <c r="AF266" s="11">
        <v>23.9</v>
      </c>
      <c r="AG266" s="11">
        <v>1.38</v>
      </c>
      <c r="AH266" s="5">
        <f>IF(AC266=0,AE266+AF266*AG266/2,AE266+AC266*AG266/2)</f>
        <v>131.939</v>
      </c>
      <c r="AI266" s="5">
        <v>20.8</v>
      </c>
      <c r="AJ266" s="3"/>
      <c r="AK266" s="33">
        <v>67</v>
      </c>
      <c r="AL266" s="5">
        <f>IF(AK266=0,AI266*AJ266/2,AK266)</f>
        <v>67</v>
      </c>
      <c r="AM266" s="3"/>
      <c r="AN266" s="5"/>
      <c r="AO266" s="5">
        <v>0.174</v>
      </c>
      <c r="AP266" s="5">
        <f>AL266+AI266*(AN266-AO266)/2</f>
        <v>65.1904</v>
      </c>
      <c r="AQ266" s="5">
        <f>0.1*(AE266+AL266)</f>
        <v>18.3</v>
      </c>
      <c r="AR266" s="11">
        <v>24.53</v>
      </c>
      <c r="AS266" s="11"/>
      <c r="AT266" s="11"/>
      <c r="AU266" s="11"/>
      <c r="AV266" s="33">
        <v>126</v>
      </c>
      <c r="AW266" s="5">
        <f>IF(AV266=0,AS266/6*(AT266+AU266*4),AV266)</f>
        <v>126</v>
      </c>
      <c r="AX266" s="11">
        <v>1.3</v>
      </c>
      <c r="AY266" s="5">
        <f>IF(AX266&lt;0.149*M266+0.329,1,AX266/(0.149*M266+0.329))</f>
        <v>1</v>
      </c>
      <c r="AZ266" s="5">
        <f>IF(AW266*AY266&gt;AL266,(AW266*AY266-AL266)/4,0)</f>
        <v>14.75</v>
      </c>
      <c r="BA266" s="12">
        <f>0.401+0.1831*(2*AR266^2/(AH266+AP266+AZ266))-0.02016*(2*AR266^2/(AH266+AP266+AZ266))^2+0.0007472*(2*AR266^2/(AH266+AP266+AZ266))^3</f>
        <v>0.9275186026307263</v>
      </c>
      <c r="BB266" s="3"/>
      <c r="BC266" s="3"/>
      <c r="BD266" s="3"/>
      <c r="BE266" s="3"/>
      <c r="BF266" s="33">
        <v>236</v>
      </c>
      <c r="BG266" s="5">
        <f>IF(BF266=0,(BC266+BD266)*(BB266/12+BE266/3),BF266)</f>
        <v>236</v>
      </c>
      <c r="BH266" s="5">
        <f>IF(BG266*AY266&gt;AL266+AZ266,BG266*AY266-AL266-AZ266,0)</f>
        <v>154.25</v>
      </c>
      <c r="BI266" s="42">
        <f>IF(M266/1.6&lt;8,ROUND(M266/1.6,0),8)</f>
        <v>8</v>
      </c>
      <c r="BJ266" s="5">
        <f>(AH266+AP266+AZ266)*BA266+0.1*BH266</f>
        <v>211.9470850142367</v>
      </c>
      <c r="BK266" s="11">
        <v>2</v>
      </c>
      <c r="BL266" s="5">
        <f>M266*0.2</f>
        <v>3.3</v>
      </c>
      <c r="BM266" s="5">
        <f>ROUNDDOWN(M266/2.13,0)</f>
        <v>7</v>
      </c>
      <c r="BN266" s="12">
        <f>M266/4.26</f>
        <v>3.873239436619718</v>
      </c>
      <c r="BO266" s="5">
        <f>IF(M266&lt;8,1.22,IF(M266&lt;15.2,0.108333*M266+0.353,2))</f>
        <v>2</v>
      </c>
      <c r="BP266" s="12">
        <f>IF(BK266&lt;BO266,1+0.3*(BO266-BK266)/M266,1)</f>
        <v>1</v>
      </c>
      <c r="BQ266" s="39">
        <v>13</v>
      </c>
      <c r="BR266" s="39">
        <v>2</v>
      </c>
      <c r="BS266" s="36"/>
      <c r="BT266" t="s" s="24">
        <v>154</v>
      </c>
      <c r="BU266" s="36"/>
      <c r="BV266" s="5">
        <f>IF(BQ266&lt;(M266/0.3048)^0.5,1,IF(BU266="x",1-BR266*0.02,IF(BT266="x",1-BR266*0.01,1)))</f>
        <v>0.98</v>
      </c>
      <c r="BW266" s="12">
        <f>IF(K266="x",MIN(1.315,1.28+U266*N266/BJ266/AR266/1100),IF(L266="x",1.28,MAX(1.245,1.28-U266*N266/BJ266/AR266/1100)))</f>
        <v>1.249129046712266</v>
      </c>
      <c r="BX266" s="41">
        <f>BW266*T266*BV266*BP266*N266^0.3*BJ266^0.4/V266^0.325</f>
        <v>1.218696931781507</v>
      </c>
      <c r="BY266" s="29"/>
      <c r="BZ266" s="29"/>
      <c r="CA266" t="s" s="19">
        <v>213</v>
      </c>
      <c r="CB266" s="3"/>
      <c r="CC266" s="3"/>
      <c r="CD266" t="s" s="19">
        <v>1647</v>
      </c>
      <c r="CE266" s="3"/>
      <c r="CF266" s="3"/>
      <c r="CG266" t="s" s="30">
        <f>A266</f>
        <v>1648</v>
      </c>
    </row>
    <row r="267" ht="12.75" customHeight="1">
      <c r="A267" t="s" s="25">
        <v>1649</v>
      </c>
      <c r="B267" t="s" s="19">
        <v>310</v>
      </c>
      <c r="C267" t="s" s="19">
        <v>311</v>
      </c>
      <c r="D267" t="s" s="19">
        <v>312</v>
      </c>
      <c r="E267" s="3"/>
      <c r="F267" s="3"/>
      <c r="G267" s="3"/>
      <c r="H267" s="32"/>
      <c r="I267" s="32"/>
      <c r="J267" t="s" s="24">
        <v>154</v>
      </c>
      <c r="K267" s="36"/>
      <c r="L267" s="36"/>
      <c r="M267" s="11">
        <v>7.99</v>
      </c>
      <c r="N267" s="5">
        <v>7.99</v>
      </c>
      <c r="O267" s="11">
        <v>4.5</v>
      </c>
      <c r="P267" s="11">
        <v>0.6</v>
      </c>
      <c r="Q267" s="37"/>
      <c r="R267" s="36"/>
      <c r="S267" s="36"/>
      <c r="T267" s="38">
        <f>IF(S267&gt;0,1.048,IF(R267&gt;0,1.048,IF(Q267&gt;0,1.036,0.907+1.55*(P267/N267)-4.449*(P267/N267)^2)))</f>
        <v>0.9983071878020241</v>
      </c>
      <c r="U267" s="39">
        <v>1250</v>
      </c>
      <c r="V267" s="40">
        <f>IF(H267="x",75+U267,IF(M267&lt;6.66,150+U267,-1.7384*M267^2+92.38*M267-388+U267))</f>
        <v>1489.13657016</v>
      </c>
      <c r="W267" s="5"/>
      <c r="X267" s="5"/>
      <c r="Y267" s="5"/>
      <c r="Z267" s="5"/>
      <c r="AA267" s="5"/>
      <c r="AB267" s="5"/>
      <c r="AC267" s="5">
        <v>9.800000000000001</v>
      </c>
      <c r="AD267" s="33">
        <v>22</v>
      </c>
      <c r="AE267" s="5">
        <f>IF(AD267=0,(W267+4*X267+2*Y267+4*Z267+AA267)*AC267/12+W267*AB267/1.5,AD267)</f>
        <v>22</v>
      </c>
      <c r="AF267" s="11">
        <v>11.1</v>
      </c>
      <c r="AG267" s="11">
        <v>0.48</v>
      </c>
      <c r="AH267" s="5">
        <f>IF(AC267=0,AE267+AF267*AG267/2,AE267+AC267*AG267/2)</f>
        <v>24.352</v>
      </c>
      <c r="AI267" s="3"/>
      <c r="AJ267" s="3"/>
      <c r="AK267" s="33">
        <v>14.2</v>
      </c>
      <c r="AL267" s="5">
        <f>IF(AK267=0,AI267*AJ267/2,AK267)</f>
        <v>14.2</v>
      </c>
      <c r="AM267" s="3"/>
      <c r="AN267" s="5"/>
      <c r="AO267" s="5"/>
      <c r="AP267" s="5">
        <f>AL267+AI267*(AN267-AO267)/2</f>
        <v>14.2</v>
      </c>
      <c r="AQ267" s="5">
        <f>0.1*(AE267+AL267)</f>
        <v>3.620000000000001</v>
      </c>
      <c r="AR267" s="11">
        <v>11.1</v>
      </c>
      <c r="AS267" s="11"/>
      <c r="AT267" s="11"/>
      <c r="AU267" s="11"/>
      <c r="AV267" s="33">
        <v>38</v>
      </c>
      <c r="AW267" s="5">
        <f>IF(AV267=0,AS267/6*(AT267+AU267*4),AV267)</f>
        <v>38</v>
      </c>
      <c r="AX267" s="11">
        <v>0</v>
      </c>
      <c r="AY267" s="5">
        <f>IF(AX267&lt;0.149*M267+0.329,1,AX267/(0.149*M267+0.329))</f>
        <v>1</v>
      </c>
      <c r="AZ267" s="5">
        <f>IF(AW267*AY267&gt;AL267,(AW267*AY267-AL267)/4,0)</f>
        <v>5.95</v>
      </c>
      <c r="BA267" s="12">
        <f>0.401+0.1831*(2*AR267^2/(AH267+AP267+AZ267))-0.02016*(2*AR267^2/(AH267+AP267+AZ267))^2+0.0007472*(2*AR267^2/(AH267+AP267+AZ267))^3</f>
        <v>0.9236011850910038</v>
      </c>
      <c r="BB267" s="3"/>
      <c r="BC267" s="3"/>
      <c r="BD267" s="3"/>
      <c r="BE267" s="3"/>
      <c r="BF267" s="33"/>
      <c r="BG267" s="5">
        <f>IF(BF267=0,(BC267+BD267)*(BB267/12+BE267/3),BF267)</f>
        <v>0</v>
      </c>
      <c r="BH267" s="5">
        <f>IF(BG267*AY267&gt;AL267+AZ267,BG267*AY267-AL267-AZ267,0)</f>
        <v>0</v>
      </c>
      <c r="BI267" s="5">
        <f>IF(M267/1.6&lt;8,ROUND(M267/1.6,0),8)</f>
        <v>5</v>
      </c>
      <c r="BJ267" s="5">
        <f>(AH267+AP267+AZ267)*BA267+0.1*BH267</f>
        <v>41.10209993891985</v>
      </c>
      <c r="BK267" s="11">
        <v>1.8</v>
      </c>
      <c r="BL267" s="5">
        <f>M267*0.2</f>
        <v>1.598</v>
      </c>
      <c r="BM267" s="5">
        <f>ROUNDDOWN(M267/2.13,0)</f>
        <v>3</v>
      </c>
      <c r="BN267" s="12">
        <f>M267/4.26</f>
        <v>1.875586854460094</v>
      </c>
      <c r="BO267" s="5">
        <f>IF(M267&lt;8,1.22,IF(M267&lt;15.2,0.108333*M267+0.353,2))</f>
        <v>1.22</v>
      </c>
      <c r="BP267" s="12">
        <f>IF(BK267&lt;BO267,1+0.3*(BO267-BK267)/M267,1)</f>
        <v>1</v>
      </c>
      <c r="BQ267" s="32"/>
      <c r="BR267" s="39">
        <v>0</v>
      </c>
      <c r="BS267" t="s" s="24">
        <v>154</v>
      </c>
      <c r="BT267" s="36"/>
      <c r="BU267" s="36"/>
      <c r="BV267" s="5">
        <f>IF(BQ267&lt;(M267/0.3048)^0.5,1,IF(BU267="x",1-BR267*0.02,IF(BT267="x",1-BR267*0.01,1)))</f>
        <v>1</v>
      </c>
      <c r="BW267" s="12">
        <f>IF(K267="x",MIN(1.315,1.28+U267*N267/BJ267/AR267/1100),IF(L267="x",1.28,MAX(1.245,1.28-U267*N267/BJ267/AR267/1100)))</f>
        <v>1.260098898372769</v>
      </c>
      <c r="BX267" s="41">
        <f>BW267*T267*BV267*BP267*N267^0.3*BJ267^0.4/V267^0.325</f>
        <v>0.9655499509176569</v>
      </c>
      <c r="BY267" s="29"/>
      <c r="BZ267" s="29"/>
      <c r="CA267" t="s" s="19">
        <v>162</v>
      </c>
      <c r="CB267" t="s" s="19">
        <v>607</v>
      </c>
      <c r="CC267" t="s" s="19">
        <v>164</v>
      </c>
      <c r="CD267" s="3"/>
      <c r="CE267" s="3"/>
      <c r="CF267" s="3"/>
      <c r="CG267" t="s" s="30">
        <f>A267</f>
        <v>1650</v>
      </c>
    </row>
    <row r="268" ht="12.75" customHeight="1">
      <c r="A268" t="s" s="25">
        <v>1651</v>
      </c>
      <c r="B268" t="s" s="19">
        <v>1652</v>
      </c>
      <c r="C268" t="s" s="19">
        <v>213</v>
      </c>
      <c r="D268" t="s" s="19">
        <v>998</v>
      </c>
      <c r="E268" t="s" s="19">
        <v>557</v>
      </c>
      <c r="F268" s="3"/>
      <c r="G268" s="3"/>
      <c r="H268" s="32"/>
      <c r="I268" s="32"/>
      <c r="J268" t="s" s="24">
        <v>154</v>
      </c>
      <c r="K268" s="36"/>
      <c r="L268" s="36"/>
      <c r="M268" s="11">
        <v>7.99</v>
      </c>
      <c r="N268" s="5">
        <v>7.96</v>
      </c>
      <c r="O268" s="11">
        <v>5.31</v>
      </c>
      <c r="P268" s="11"/>
      <c r="Q268" s="37"/>
      <c r="R268" t="s" s="24">
        <v>1653</v>
      </c>
      <c r="S268" s="36"/>
      <c r="T268" s="38">
        <f>IF(S268&gt;0,1.048,IF(R268&gt;0,1.048,IF(Q268&gt;0,1.036,0.907+1.55*(P268/N268)-4.449*(P268/N268)^2)))</f>
        <v>1.048</v>
      </c>
      <c r="U268" s="39">
        <v>1087</v>
      </c>
      <c r="V268" s="40">
        <f>IF(H268="x",75+U268,IF(M268&lt;6.66,150+U268,-1.7384*M268^2+92.38*M268-388+U268))</f>
        <v>1326.13657016</v>
      </c>
      <c r="W268" s="5"/>
      <c r="X268" s="5"/>
      <c r="Y268" s="5"/>
      <c r="Z268" s="5"/>
      <c r="AA268" s="5"/>
      <c r="AB268" s="5"/>
      <c r="AC268" s="5"/>
      <c r="AD268" s="33">
        <v>31.5</v>
      </c>
      <c r="AE268" s="5">
        <f>IF(AD268=0,(W268+4*X268+2*Y268+4*Z268+AA268)*AC268/12+W268*AB268/1.5,AD268)</f>
        <v>31.5</v>
      </c>
      <c r="AF268" s="11">
        <v>12.5</v>
      </c>
      <c r="AG268" s="11"/>
      <c r="AH268" s="5">
        <f>IF(AC268=0,AE268+AF268*AG268/2,AE268+AC268*AG268/2)</f>
        <v>31.5</v>
      </c>
      <c r="AI268" s="3"/>
      <c r="AJ268" s="3"/>
      <c r="AK268" s="33">
        <v>11.88</v>
      </c>
      <c r="AL268" s="5">
        <f>IF(AK268=0,AI268*AJ268/2,AK268)</f>
        <v>11.88</v>
      </c>
      <c r="AM268" s="3"/>
      <c r="AN268" s="5"/>
      <c r="AO268" s="5"/>
      <c r="AP268" s="5">
        <f>AL268+AI268*(AN268-AO268)/2</f>
        <v>11.88</v>
      </c>
      <c r="AQ268" s="5">
        <f>0.1*(AE268+AL268)</f>
        <v>4.338</v>
      </c>
      <c r="AR268" s="11">
        <v>12.5</v>
      </c>
      <c r="AS268" s="11"/>
      <c r="AT268" s="11"/>
      <c r="AU268" s="11"/>
      <c r="AV268" s="33"/>
      <c r="AW268" s="5">
        <f>IF(AV268=0,AS268/6*(AT268+AU268*4),AV268)</f>
        <v>0</v>
      </c>
      <c r="AX268" s="11">
        <v>1.5</v>
      </c>
      <c r="AY268" s="5">
        <f>IF(AX268&lt;0.149*M268+0.329,1,AX268/(0.149*M268+0.329))</f>
        <v>1</v>
      </c>
      <c r="AZ268" s="5">
        <f>IF(AW268*AY268&gt;AL268,(AW268*AY268-AL268)/4,0)</f>
        <v>0</v>
      </c>
      <c r="BA268" s="12">
        <f>0.401+0.1831*(2*AR268^2/(AH268+AP268+AZ268))-0.02016*(2*AR268^2/(AH268+AP268+AZ268))^2+0.0007472*(2*AR268^2/(AH268+AP268+AZ268))^3</f>
        <v>0.9531504751304922</v>
      </c>
      <c r="BB268" s="3"/>
      <c r="BC268" s="3"/>
      <c r="BD268" s="3"/>
      <c r="BE268" s="3"/>
      <c r="BF268" s="33">
        <v>41.95</v>
      </c>
      <c r="BG268" s="5">
        <f>IF(BF268=0,(BC268+BD268)*(BB268/12+BE268/3),BF268)</f>
        <v>41.95</v>
      </c>
      <c r="BH268" s="5">
        <f>IF(BG268*AY268&gt;AL268+AZ268,BG268*AY268-AL268-AZ268,0)</f>
        <v>30.07</v>
      </c>
      <c r="BI268" s="5">
        <f>IF(M268/1.6&lt;8,ROUND(M268/1.6,0),8)</f>
        <v>5</v>
      </c>
      <c r="BJ268" s="5">
        <f>(AH268+AP268+AZ268)*BA268+0.1*BH268</f>
        <v>44.35466761116075</v>
      </c>
      <c r="BK268" s="11">
        <v>1.22</v>
      </c>
      <c r="BL268" s="5">
        <f>M268*0.2</f>
        <v>1.598</v>
      </c>
      <c r="BM268" s="5">
        <f>ROUNDDOWN(M268/2.13,0)</f>
        <v>3</v>
      </c>
      <c r="BN268" s="12">
        <f>M268/4.26</f>
        <v>1.875586854460094</v>
      </c>
      <c r="BO268" s="5">
        <f>IF(M268&lt;8,1.22,IF(M268&lt;15.2,0.108333*M268+0.353,2))</f>
        <v>1.22</v>
      </c>
      <c r="BP268" s="12">
        <f>IF(BK268&lt;BO268,1+0.3*(BO268-BK268)/M268,1)</f>
        <v>1</v>
      </c>
      <c r="BQ268" s="32"/>
      <c r="BR268" s="32"/>
      <c r="BS268" t="s" s="24">
        <v>154</v>
      </c>
      <c r="BT268" s="36"/>
      <c r="BU268" s="36"/>
      <c r="BV268" s="5">
        <f>IF(BQ268&lt;(M268/0.3048)^0.5,1,IF(BU268="x",1-BR268*0.02,IF(BT268="x",1-BR268*0.01,1)))</f>
        <v>1</v>
      </c>
      <c r="BW268" s="12">
        <f>IF(K268="x",MIN(1.315,1.28+U268*N268/BJ268/AR268/1100),IF(L268="x",1.28,MAX(1.245,1.28-U268*N268/BJ268/AR268/1100)))</f>
        <v>1.265812672809663</v>
      </c>
      <c r="BX268" s="41">
        <f>BW268*T268*BV268*BP268*N268^0.3*BJ268^0.4/V268^0.325</f>
        <v>1.088777637266225</v>
      </c>
      <c r="BY268" s="29"/>
      <c r="BZ268" s="48"/>
      <c r="CA268" t="s" s="19">
        <v>162</v>
      </c>
      <c r="CB268" t="s" s="19">
        <v>1583</v>
      </c>
      <c r="CC268" t="s" s="19">
        <v>254</v>
      </c>
      <c r="CD268" t="s" s="19">
        <v>1654</v>
      </c>
      <c r="CE268" s="3"/>
      <c r="CF268" s="3"/>
      <c r="CG268" t="s" s="30">
        <f>A268</f>
        <v>1655</v>
      </c>
    </row>
    <row r="269" ht="12.75" customHeight="1">
      <c r="A269" t="s" s="25">
        <v>1651</v>
      </c>
      <c r="B269" t="s" s="19">
        <v>338</v>
      </c>
      <c r="C269" t="s" s="19">
        <v>1656</v>
      </c>
      <c r="D269" s="3"/>
      <c r="E269" t="s" s="19">
        <v>557</v>
      </c>
      <c r="F269" t="s" s="19">
        <v>1657</v>
      </c>
      <c r="G269" t="s" s="19">
        <v>1658</v>
      </c>
      <c r="H269" s="32"/>
      <c r="I269" s="32"/>
      <c r="J269" s="36"/>
      <c r="K269" t="s" s="24">
        <v>154</v>
      </c>
      <c r="L269" s="36"/>
      <c r="M269" s="11">
        <v>8.57</v>
      </c>
      <c r="N269" s="5">
        <v>8.529999999999999</v>
      </c>
      <c r="O269" s="11">
        <v>7.5</v>
      </c>
      <c r="P269" s="11"/>
      <c r="Q269" s="37"/>
      <c r="R269" t="s" s="24">
        <v>161</v>
      </c>
      <c r="S269" s="36"/>
      <c r="T269" s="38">
        <f>IF(S269&gt;0,1.048,IF(R269&gt;0,1.048,IF(Q269&gt;0,1.036,0.907+1.55*(P269/N269)-4.449*(P269/N269)^2)))</f>
        <v>1.048</v>
      </c>
      <c r="U269" s="39">
        <v>750</v>
      </c>
      <c r="V269" s="40">
        <f>IF(H269="x",75+U269,IF(M269&lt;6.66,150+U269,-1.7384*M269^2+92.38*M269-388+U269))</f>
        <v>1026.01998584</v>
      </c>
      <c r="W269" s="5"/>
      <c r="X269" s="5"/>
      <c r="Y269" s="5"/>
      <c r="Z269" s="5"/>
      <c r="AA269" s="5"/>
      <c r="AB269" s="5"/>
      <c r="AC269" s="5">
        <v>13.47</v>
      </c>
      <c r="AD269" s="33">
        <v>48.7</v>
      </c>
      <c r="AE269" s="5">
        <f>IF(AD269=0,(W269+4*X269+2*Y269+4*Z269+AA269)*AC269/12+W269*AB269/1.5,AD269)</f>
        <v>48.7</v>
      </c>
      <c r="AF269" s="11">
        <v>14.75</v>
      </c>
      <c r="AG269" s="11">
        <v>0.48</v>
      </c>
      <c r="AH269" s="5">
        <f>IF(AC269=0,AE269+AF269*AG269/2,AE269+AC269*AG269/2)</f>
        <v>51.9328</v>
      </c>
      <c r="AI269" s="3"/>
      <c r="AJ269" s="3"/>
      <c r="AK269" s="33">
        <v>11.23</v>
      </c>
      <c r="AL269" s="5">
        <f>IF(AK269=0,AI269*AJ269/2,AK269)</f>
        <v>11.23</v>
      </c>
      <c r="AM269" t="s" s="19">
        <v>154</v>
      </c>
      <c r="AN269" s="5"/>
      <c r="AO269" s="5"/>
      <c r="AP269" s="5">
        <f>AL269+AI269*(AN269-AO269)/2</f>
        <v>11.23</v>
      </c>
      <c r="AQ269" s="5">
        <f>0.1*(AE269+AL269)</f>
        <v>5.993000000000001</v>
      </c>
      <c r="AR269" s="11">
        <v>14.7</v>
      </c>
      <c r="AS269" s="11"/>
      <c r="AT269" s="11"/>
      <c r="AU269" s="11"/>
      <c r="AV269" s="33">
        <v>61.13</v>
      </c>
      <c r="AW269" s="5">
        <f>IF(AV269=0,AS269/6*(AT269+AU269*4),AV269)</f>
        <v>61.13</v>
      </c>
      <c r="AX269" s="11">
        <v>1.6</v>
      </c>
      <c r="AY269" s="5">
        <f>IF(AX269&lt;0.149*M269+0.329,1,AX269/(0.149*M269+0.329))</f>
        <v>1</v>
      </c>
      <c r="AZ269" s="5">
        <f>IF(AW269*AY269&gt;AL269,(AW269*AY269-AL269)/4,0)</f>
        <v>12.475</v>
      </c>
      <c r="BA269" s="12">
        <f>0.401+0.1831*(2*AR269^2/(AH269+AP269+AZ269))-0.02016*(2*AR269^2/(AH269+AP269+AZ269))^2+0.0007472*(2*AR269^2/(AH269+AP269+AZ269))^3</f>
        <v>0.9284069154786788</v>
      </c>
      <c r="BB269" s="3"/>
      <c r="BC269" s="3"/>
      <c r="BD269" s="3"/>
      <c r="BE269" s="3"/>
      <c r="BF269" s="33">
        <v>0</v>
      </c>
      <c r="BG269" s="5">
        <f>IF(BF269=0,(BC269+BD269)*(BB269/12+BE269/3),BF269)</f>
        <v>0</v>
      </c>
      <c r="BH269" s="5">
        <f>IF(BG269*AY269&gt;AL269+AZ269,BG269*AY269-AL269-AZ269,0)</f>
        <v>0</v>
      </c>
      <c r="BI269" s="5">
        <f>IF(M269/1.6&lt;8,ROUND(M269/1.6,0),8)</f>
        <v>5</v>
      </c>
      <c r="BJ269" s="5">
        <f>(AH269+AP269+AZ269)*BA269+0.1*BH269</f>
        <v>70.22265659159321</v>
      </c>
      <c r="BK269" s="11">
        <v>1.22</v>
      </c>
      <c r="BL269" s="5">
        <f>M269*0.2</f>
        <v>1.714</v>
      </c>
      <c r="BM269" s="5">
        <f>ROUNDDOWN(M269/2.13,0)</f>
        <v>4</v>
      </c>
      <c r="BN269" s="12">
        <f>M269/4.26</f>
        <v>2.011737089201878</v>
      </c>
      <c r="BO269" s="5">
        <f>IF(M269&lt;8,1.22,IF(M269&lt;15.2,0.108333*M269+0.353,2))</f>
        <v>1.28141381</v>
      </c>
      <c r="BP269" s="12">
        <f>IF(BK269&lt;BO269,1+0.3*(BO269-BK269)/M269,1)</f>
        <v>1.002149841656943</v>
      </c>
      <c r="BQ269" s="32"/>
      <c r="BR269" s="39">
        <v>0</v>
      </c>
      <c r="BS269" t="s" s="24">
        <v>154</v>
      </c>
      <c r="BT269" s="36"/>
      <c r="BU269" s="36"/>
      <c r="BV269" s="5">
        <f>IF(BQ269&lt;(M269/0.3048)^0.5,1,IF(BU269="x",1-BR269*0.02,IF(BT269="x",1-BR269*0.01,1)))</f>
        <v>1</v>
      </c>
      <c r="BW269" s="12">
        <f>IF(K269="x",MIN(1.315,1.28+U269*N269/BJ269/AR269/1100),IF(L269="x",1.28,MAX(1.245,1.28-U269*N269/BJ269/AR269/1100)))</f>
        <v>1.28563408013047</v>
      </c>
      <c r="BX269" s="41">
        <f>BW269*T269*BV269*BP269*N269^0.3*BJ269^0.4/V269^0.325</f>
        <v>1.47795527191366</v>
      </c>
      <c r="BY269" s="29"/>
      <c r="BZ269" s="29"/>
      <c r="CA269" t="s" s="19">
        <v>162</v>
      </c>
      <c r="CB269" t="s" s="19">
        <v>1321</v>
      </c>
      <c r="CC269" t="s" s="19">
        <v>254</v>
      </c>
      <c r="CD269" t="s" s="19">
        <v>340</v>
      </c>
      <c r="CE269" s="3"/>
      <c r="CF269" s="3"/>
      <c r="CG269" t="s" s="30">
        <f>A269</f>
        <v>1655</v>
      </c>
    </row>
    <row r="270" ht="12.75" customHeight="1">
      <c r="A270" t="s" s="25">
        <v>1659</v>
      </c>
      <c r="B270" t="s" s="19">
        <v>574</v>
      </c>
      <c r="C270" t="s" s="19">
        <v>1660</v>
      </c>
      <c r="D270" t="s" s="19">
        <v>169</v>
      </c>
      <c r="E270" t="s" s="19">
        <v>1661</v>
      </c>
      <c r="F270" t="s" s="19">
        <v>1662</v>
      </c>
      <c r="G270" s="3"/>
      <c r="H270" s="32"/>
      <c r="I270" s="32"/>
      <c r="J270" s="36"/>
      <c r="K270" t="s" s="24">
        <v>154</v>
      </c>
      <c r="L270" s="36"/>
      <c r="M270" s="11">
        <v>7.5</v>
      </c>
      <c r="N270" s="5">
        <v>7.5</v>
      </c>
      <c r="O270" s="11">
        <v>6.8</v>
      </c>
      <c r="P270" s="11"/>
      <c r="Q270" s="37"/>
      <c r="R270" s="43">
        <v>0.22</v>
      </c>
      <c r="S270" s="36"/>
      <c r="T270" s="38">
        <f>IF(S270&gt;0,1.048,IF(R270&gt;0,1.048,IF(Q270&gt;0,1.036,0.907+1.55*(P270/N270)-4.449*(P270/N270)^2)))</f>
        <v>1.048</v>
      </c>
      <c r="U270" s="39">
        <v>750</v>
      </c>
      <c r="V270" s="40">
        <f>IF(H270="x",75+U270,IF(M270&lt;6.66,150+U270,-1.7384*M270^2+92.38*M270-388+U270))</f>
        <v>957.0649999999999</v>
      </c>
      <c r="W270" s="5"/>
      <c r="X270" s="5"/>
      <c r="Y270" s="5"/>
      <c r="Z270" s="5"/>
      <c r="AA270" s="5"/>
      <c r="AB270" s="5"/>
      <c r="AC270" s="5">
        <v>10.9</v>
      </c>
      <c r="AD270" s="33">
        <v>25</v>
      </c>
      <c r="AE270" s="5">
        <f>IF(AD270=0,(W270+4*X270+2*Y270+4*Z270+AA270)*AC270/12+W270*AB270/1.5,AD270)</f>
        <v>25</v>
      </c>
      <c r="AF270" s="11">
        <v>12</v>
      </c>
      <c r="AG270" s="11">
        <v>0.66</v>
      </c>
      <c r="AH270" s="5">
        <f>IF(AC270=0,AE270+AF270*AG270/2,AE270+AC270*AG270/2)</f>
        <v>28.597</v>
      </c>
      <c r="AI270" s="5">
        <v>8.699999999999999</v>
      </c>
      <c r="AJ270" s="3"/>
      <c r="AK270" s="33">
        <v>10.5</v>
      </c>
      <c r="AL270" s="5">
        <f>IF(AK270=0,AI270*AJ270/2,AK270)</f>
        <v>10.5</v>
      </c>
      <c r="AM270" t="s" s="19">
        <v>154</v>
      </c>
      <c r="AN270" s="5"/>
      <c r="AO270" s="5"/>
      <c r="AP270" s="5">
        <f>AL270+AI270*(AN270-AO270)/2</f>
        <v>10.5</v>
      </c>
      <c r="AQ270" s="5">
        <f>0.1*(AE270+AL270)</f>
        <v>3.55</v>
      </c>
      <c r="AR270" s="11">
        <v>11</v>
      </c>
      <c r="AS270" s="11"/>
      <c r="AT270" s="11"/>
      <c r="AU270" s="11"/>
      <c r="AV270" s="33">
        <v>30</v>
      </c>
      <c r="AW270" s="5">
        <f>IF(AV270=0,AS270/6*(AT270+AU270*4),AV270)</f>
        <v>30</v>
      </c>
      <c r="AX270" s="11">
        <v>0.6</v>
      </c>
      <c r="AY270" s="5">
        <f>IF(AX270&lt;0.149*M270+0.329,1,AX270/(0.149*M270+0.329))</f>
        <v>1</v>
      </c>
      <c r="AZ270" s="5">
        <f>IF(AW270*AY270&gt;AL270,(AW270*AY270-AL270)/4,0)</f>
        <v>4.875</v>
      </c>
      <c r="BA270" s="12">
        <f>0.401+0.1831*(2*AR270^2/(AH270+AP270+AZ270))-0.02016*(2*AR270^2/(AH270+AP270+AZ270))^2+0.0007472*(2*AR270^2/(AH270+AP270+AZ270))^3</f>
        <v>0.9226273883404617</v>
      </c>
      <c r="BB270" s="3"/>
      <c r="BC270" s="3"/>
      <c r="BD270" s="3"/>
      <c r="BE270" s="3"/>
      <c r="BF270" s="33">
        <v>65</v>
      </c>
      <c r="BG270" s="5">
        <f>IF(BF270=0,(BC270+BD270)*(BB270/12+BE270/3),BF270)</f>
        <v>65</v>
      </c>
      <c r="BH270" s="5">
        <f>IF(BG270*AY270&gt;AL270+AZ270,BG270*AY270-AL270-AZ270,0)</f>
        <v>49.625</v>
      </c>
      <c r="BI270" s="5">
        <f>IF(M270/1.6&lt;8,ROUND(M270/1.6,0),8)</f>
        <v>5</v>
      </c>
      <c r="BJ270" s="5">
        <f>(AH270+AP270+AZ270)*BA270+0.1*BH270</f>
        <v>45.53227152010678</v>
      </c>
      <c r="BK270" s="11">
        <v>1</v>
      </c>
      <c r="BL270" s="5">
        <f>M270*0.2</f>
        <v>1.5</v>
      </c>
      <c r="BM270" s="5">
        <f>ROUNDDOWN(M270/2.13,0)</f>
        <v>3</v>
      </c>
      <c r="BN270" s="12">
        <f>M270/4.26</f>
        <v>1.76056338028169</v>
      </c>
      <c r="BO270" s="5">
        <f>IF(M270&lt;8,1.22,IF(M270&lt;15.2,0.108333*M270+0.353,2))</f>
        <v>1.22</v>
      </c>
      <c r="BP270" s="12">
        <f>IF(BK270&lt;BO270,1+0.3*(BO270-BK270)/M270,1)</f>
        <v>1.0088</v>
      </c>
      <c r="BQ270" s="32"/>
      <c r="BR270" s="32"/>
      <c r="BS270" t="s" s="24">
        <v>154</v>
      </c>
      <c r="BT270" s="36"/>
      <c r="BU270" s="36"/>
      <c r="BV270" s="5">
        <f>IF(BQ270&lt;(M270/0.3048)^0.5,1,IF(BU270="x",1-BR270*0.02,IF(BT270="x",1-BR270*0.01,1)))</f>
        <v>1</v>
      </c>
      <c r="BW270" s="12">
        <f>IF(K270="x",MIN(1.315,1.28+U270*N270/BJ270/AR270/1100),IF(L270="x",1.28,MAX(1.245,1.28-U270*N270/BJ270/AR270/1100)))</f>
        <v>1.290209814216112</v>
      </c>
      <c r="BX270" s="41">
        <f>BW270*T270*BV270*BP270*N270^0.3*BJ270^0.4/V270^0.325</f>
        <v>1.235568526360765</v>
      </c>
      <c r="BY270" s="29"/>
      <c r="BZ270" s="29"/>
      <c r="CA270" t="s" s="19">
        <v>188</v>
      </c>
      <c r="CB270" t="s" s="19">
        <v>1663</v>
      </c>
      <c r="CC270" s="3"/>
      <c r="CD270" s="3"/>
      <c r="CE270" s="3"/>
      <c r="CF270" s="3"/>
      <c r="CG270" t="s" s="30">
        <f>A270</f>
        <v>1664</v>
      </c>
    </row>
    <row r="271" ht="12.75" customHeight="1">
      <c r="A271" t="s" s="25">
        <v>1665</v>
      </c>
      <c r="B271" t="s" s="19">
        <v>1666</v>
      </c>
      <c r="C271" t="s" s="19">
        <v>773</v>
      </c>
      <c r="D271" t="s" s="19">
        <v>1667</v>
      </c>
      <c r="E271" t="s" s="19">
        <v>1668</v>
      </c>
      <c r="F271" t="s" s="19">
        <v>1669</v>
      </c>
      <c r="G271" t="s" s="19">
        <v>1670</v>
      </c>
      <c r="H271" s="32"/>
      <c r="I271" s="32"/>
      <c r="J271" s="36"/>
      <c r="K271" t="s" s="24">
        <v>154</v>
      </c>
      <c r="L271" s="36"/>
      <c r="M271" s="11">
        <v>10.3</v>
      </c>
      <c r="N271" s="5">
        <v>10.3</v>
      </c>
      <c r="O271" s="11">
        <v>8.44</v>
      </c>
      <c r="P271" s="11"/>
      <c r="Q271" s="37"/>
      <c r="R271" t="s" s="24">
        <v>1671</v>
      </c>
      <c r="S271" s="36"/>
      <c r="T271" s="38">
        <f>IF(S271&gt;0,1.048,IF(R271&gt;0,1.048,IF(Q271&gt;0,1.036,0.907+1.55*(P271/N271)-4.449*(P271/N271)^2)))</f>
        <v>1.048</v>
      </c>
      <c r="U271" s="39">
        <v>3887</v>
      </c>
      <c r="V271" s="40">
        <f>IF(H271="x",75+U271,IF(M271&lt;6.66,150+U271,-1.7384*M271^2+92.38*M271-388+U271))</f>
        <v>4266.087144</v>
      </c>
      <c r="W271" s="5">
        <v>4.2</v>
      </c>
      <c r="X271" s="5">
        <v>4.1</v>
      </c>
      <c r="Y271" s="5">
        <v>3.7</v>
      </c>
      <c r="Z271" s="5">
        <v>2.4</v>
      </c>
      <c r="AA271" s="5"/>
      <c r="AB271" s="5"/>
      <c r="AC271" s="5">
        <v>13.65</v>
      </c>
      <c r="AD271" s="33">
        <v>44.4</v>
      </c>
      <c r="AE271" s="5">
        <f>IF(AD271=0,(W271+4*X271+2*Y271+4*Z271+AA271)*AC271/12+W271*AB271/1.5,AD271)</f>
        <v>44.4</v>
      </c>
      <c r="AF271" s="11">
        <v>15.3</v>
      </c>
      <c r="AG271" s="11"/>
      <c r="AH271" s="5">
        <f>IF(AC271=0,AE271+AF271*AG271/2,AE271+AC271*AG271/2)</f>
        <v>44.4</v>
      </c>
      <c r="AI271" s="5">
        <v>12.12</v>
      </c>
      <c r="AJ271" s="5">
        <v>5.42</v>
      </c>
      <c r="AK271" s="33"/>
      <c r="AL271" s="5">
        <f>IF(AK271=0,AI271*AJ271/2,AK271)</f>
        <v>32.8452</v>
      </c>
      <c r="AM271" t="s" s="19">
        <v>154</v>
      </c>
      <c r="AN271" s="5"/>
      <c r="AO271" s="5"/>
      <c r="AP271" s="5">
        <f>AL271+AI271*(AN271-AO271)/2</f>
        <v>32.8452</v>
      </c>
      <c r="AQ271" s="5">
        <f>0.1*(AE271+AL271)</f>
        <v>7.72452</v>
      </c>
      <c r="AR271" s="11">
        <v>15.38</v>
      </c>
      <c r="AS271" s="11"/>
      <c r="AT271" s="11"/>
      <c r="AU271" s="11"/>
      <c r="AV271" s="33">
        <v>47.18</v>
      </c>
      <c r="AW271" s="5">
        <f>IF(AV271=0,AS271/6*(AT271+AU271*4),AV271)</f>
        <v>47.18</v>
      </c>
      <c r="AX271" s="11">
        <v>0.6</v>
      </c>
      <c r="AY271" s="5">
        <f>IF(AX271&lt;0.149*M271+0.329,1,AX271/(0.149*M271+0.329))</f>
        <v>1</v>
      </c>
      <c r="AZ271" s="5">
        <f>IF(AW271*AY271&gt;AL271,(AW271*AY271-AL271)/4,0)</f>
        <v>3.5837</v>
      </c>
      <c r="BA271" s="12">
        <f>0.401+0.1831*(2*AR271^2/(AH271+AP271+AZ271))-0.02016*(2*AR271^2/(AH271+AP271+AZ271))^2+0.0007472*(2*AR271^2/(AH271+AP271+AZ271))^3</f>
        <v>0.9318710006577809</v>
      </c>
      <c r="BB271" s="5">
        <v>8.06</v>
      </c>
      <c r="BC271" s="5">
        <v>15.72</v>
      </c>
      <c r="BD271" s="5">
        <v>15.72</v>
      </c>
      <c r="BE271" s="5">
        <v>8.44</v>
      </c>
      <c r="BF271" s="33"/>
      <c r="BG271" s="5">
        <f>IF(BF271=0,(BC271+BD271)*(BB271/12+BE271/3),BF271)</f>
        <v>109.5684</v>
      </c>
      <c r="BH271" s="5">
        <f>IF(BG271*AY271&gt;AL271+AZ271,BG271*AY271-AL271-AZ271,0)</f>
        <v>73.1395</v>
      </c>
      <c r="BI271" s="5">
        <f>IF(M271/1.6&lt;8,ROUND(M271/1.6,0),8)</f>
        <v>6</v>
      </c>
      <c r="BJ271" s="5">
        <f>(AH271+AP271+AZ271)*BA271+0.1*BH271</f>
        <v>82.63605792506772</v>
      </c>
      <c r="BK271" s="11">
        <v>1.8</v>
      </c>
      <c r="BL271" s="5">
        <f>M271*0.2</f>
        <v>2.06</v>
      </c>
      <c r="BM271" s="5">
        <f>ROUNDDOWN(M271/2.13,0)</f>
        <v>4</v>
      </c>
      <c r="BN271" s="12">
        <f>M271/4.26</f>
        <v>2.417840375586855</v>
      </c>
      <c r="BO271" s="5">
        <f>IF(M271&lt;8,1.22,IF(M271&lt;15.2,0.108333*M271+0.353,2))</f>
        <v>1.4688299</v>
      </c>
      <c r="BP271" s="12">
        <f>IF(BK271&lt;BO271,1+0.3*(BO271-BK271)/M271,1)</f>
        <v>1</v>
      </c>
      <c r="BQ271" s="32"/>
      <c r="BR271" s="39">
        <v>0</v>
      </c>
      <c r="BS271" t="s" s="24">
        <v>154</v>
      </c>
      <c r="BT271" s="36"/>
      <c r="BU271" s="36"/>
      <c r="BV271" s="5">
        <f>IF(BQ271&lt;(M271/0.3048)^0.5,1,IF(BU271="x",1-BR271*0.02,IF(BT271="x",1-BR271*0.01,1)))</f>
        <v>1</v>
      </c>
      <c r="BW271" s="12">
        <f>IF(K271="x",MIN(1.315,1.28+U271*N271/BJ271/AR271/1100),IF(L271="x",1.28,MAX(1.245,1.28-U271*N271/BJ271/AR271/1100)))</f>
        <v>1.308637371490387</v>
      </c>
      <c r="BX271" s="41">
        <f>BW271*T271*BV271*BP271*N271^0.3*BJ271^0.4/V271^0.325</f>
        <v>1.066939872246145</v>
      </c>
      <c r="BY271" s="29"/>
      <c r="BZ271" s="29"/>
      <c r="CA271" t="s" s="19">
        <v>213</v>
      </c>
      <c r="CB271" t="s" s="19">
        <v>1672</v>
      </c>
      <c r="CC271" t="s" s="19">
        <v>1673</v>
      </c>
      <c r="CD271" t="s" s="19">
        <v>1674</v>
      </c>
      <c r="CE271" s="3"/>
      <c r="CF271" s="3"/>
      <c r="CG271" t="s" s="30">
        <f>A271</f>
        <v>1675</v>
      </c>
    </row>
    <row r="272" ht="12.75" customHeight="1">
      <c r="A272" t="s" s="25">
        <v>1676</v>
      </c>
      <c r="B272" t="s" s="19">
        <v>1110</v>
      </c>
      <c r="C272" t="s" s="19">
        <v>796</v>
      </c>
      <c r="D272" t="s" s="19">
        <v>796</v>
      </c>
      <c r="E272" t="s" s="19">
        <v>1111</v>
      </c>
      <c r="F272" s="3"/>
      <c r="G272" t="s" s="19">
        <v>1112</v>
      </c>
      <c r="H272" s="32"/>
      <c r="I272" s="32"/>
      <c r="J272" s="36"/>
      <c r="K272" t="s" s="24">
        <v>154</v>
      </c>
      <c r="L272" s="36"/>
      <c r="M272" s="11">
        <v>8</v>
      </c>
      <c r="N272" s="5">
        <v>7.83</v>
      </c>
      <c r="O272" s="11">
        <v>7.1</v>
      </c>
      <c r="P272" s="11"/>
      <c r="Q272" s="37"/>
      <c r="R272" t="s" s="24">
        <v>154</v>
      </c>
      <c r="S272" s="36"/>
      <c r="T272" s="38">
        <f>IF(S272&gt;0,1.048,IF(R272&gt;0,1.048,IF(Q272&gt;0,1.036,0.907+1.55*(P272/N272)-4.449*(P272/N272)^2)))</f>
        <v>1.048</v>
      </c>
      <c r="U272" s="39">
        <v>606</v>
      </c>
      <c r="V272" s="40">
        <f>IF(H272="x",75+U272,IF(M272&lt;6.66,150+U272,-1.7384*M272^2+92.38*M272-388+U272))</f>
        <v>845.7823999999999</v>
      </c>
      <c r="W272" s="5">
        <v>3.22</v>
      </c>
      <c r="X272" s="5">
        <v>3.15</v>
      </c>
      <c r="Y272" s="5">
        <v>2.765</v>
      </c>
      <c r="Z272" s="5">
        <v>1.79</v>
      </c>
      <c r="AA272" s="5">
        <v>0.38</v>
      </c>
      <c r="AB272" s="5">
        <v>0.015</v>
      </c>
      <c r="AC272" s="5">
        <v>10.65</v>
      </c>
      <c r="AD272" s="33"/>
      <c r="AE272" s="5">
        <f>IF(AD272=0,(W272+4*X272+2*Y272+4*Z272+AA272)*AC272/12+W272*AB272/1.5,AD272)</f>
        <v>25.672075</v>
      </c>
      <c r="AF272" s="11"/>
      <c r="AG272" s="11">
        <v>0</v>
      </c>
      <c r="AH272" s="5">
        <f>IF(AC272=0,AE272+AF272*AG272/2,AE272+AC272*AG272/2)</f>
        <v>25.672075</v>
      </c>
      <c r="AI272" s="5">
        <v>10</v>
      </c>
      <c r="AJ272" s="5">
        <v>2.1</v>
      </c>
      <c r="AK272" s="33"/>
      <c r="AL272" s="5">
        <f>IF(AK272=0,AI272*AJ272/2,AK272)</f>
        <v>10.5</v>
      </c>
      <c r="AM272" t="s" s="19">
        <v>154</v>
      </c>
      <c r="AN272" s="5"/>
      <c r="AO272" s="5"/>
      <c r="AP272" s="5">
        <f>AL272+AI272*(AN272-AO272)/2</f>
        <v>10.5</v>
      </c>
      <c r="AQ272" s="5">
        <f>0.1*(AE272+AL272)</f>
        <v>3.617207500000001</v>
      </c>
      <c r="AR272" s="11">
        <v>11.53</v>
      </c>
      <c r="AS272" s="11"/>
      <c r="AT272" s="11"/>
      <c r="AU272" s="11"/>
      <c r="AV272" s="33"/>
      <c r="AW272" s="5">
        <f>IF(AV272=0,AS272/6*(AT272+AU272*4),AV272)</f>
        <v>0</v>
      </c>
      <c r="AX272" s="11">
        <v>1.28</v>
      </c>
      <c r="AY272" s="5">
        <f>IF(AX272&lt;0.149*M272+0.329,1,AX272/(0.149*M272+0.329))</f>
        <v>1</v>
      </c>
      <c r="AZ272" s="5">
        <f>IF(AW272*AY272&gt;AL272,(AW272*AY272-AL272)/4,0)</f>
        <v>0</v>
      </c>
      <c r="BA272" s="12">
        <f>0.401+0.1831*(2*AR272^2/(AH272+AP272+AZ272))-0.02016*(2*AR272^2/(AH272+AP272+AZ272))^2+0.0007472*(2*AR272^2/(AH272+AP272+AZ272))^3</f>
        <v>0.9543823448374188</v>
      </c>
      <c r="BB272" s="5">
        <v>5.03</v>
      </c>
      <c r="BC272" s="5">
        <v>10.93</v>
      </c>
      <c r="BD272" s="5">
        <v>8.859999999999999</v>
      </c>
      <c r="BE272" s="5">
        <v>4.32</v>
      </c>
      <c r="BF272" s="33"/>
      <c r="BG272" s="5">
        <f>IF(BF272=0,(BC272+BD272)*(BB272/12+BE272/3),BF272)</f>
        <v>36.79290833333334</v>
      </c>
      <c r="BH272" s="5">
        <f>IF(BG272*AY272&gt;AL272+AZ272,BG272*AY272-AL272-AZ272,0)</f>
        <v>26.29290833333334</v>
      </c>
      <c r="BI272" s="5">
        <f>IF(M272/1.6&lt;8,ROUND(M272/1.6,0),8)</f>
        <v>5</v>
      </c>
      <c r="BJ272" s="5">
        <f>(AH272+AP272+AZ272)*BA272+0.1*BH272</f>
        <v>37.15128058946832</v>
      </c>
      <c r="BK272" s="11">
        <v>1.43</v>
      </c>
      <c r="BL272" s="5">
        <f>M272*0.2</f>
        <v>1.6</v>
      </c>
      <c r="BM272" s="5">
        <f>ROUNDDOWN(M272/2.13,0)</f>
        <v>3</v>
      </c>
      <c r="BN272" s="12">
        <f>M272/4.26</f>
        <v>1.877934272300469</v>
      </c>
      <c r="BO272" s="5">
        <f>IF(M272&lt;8,1.22,IF(M272&lt;15.2,0.108333*M272+0.353,2))</f>
        <v>1.219664</v>
      </c>
      <c r="BP272" s="12">
        <f>IF(BK272&lt;BO272,1+0.3*(BO272-BK272)/M272,1)</f>
        <v>1</v>
      </c>
      <c r="BQ272" s="32"/>
      <c r="BR272" s="32"/>
      <c r="BS272" t="s" s="24">
        <v>154</v>
      </c>
      <c r="BT272" s="36"/>
      <c r="BU272" s="36"/>
      <c r="BV272" s="5">
        <f>IF(BQ272&lt;(M272/0.3048)^0.5,1,IF(BU272="x",1-BR272*0.02,IF(BT272="x",1-BR272*0.01,1)))</f>
        <v>1</v>
      </c>
      <c r="BW272" s="12">
        <f>IF(K272="x",MIN(1.315,1.28+U272*N272/BJ272/AR272/1100),IF(L272="x",1.28,MAX(1.245,1.28-U272*N272/BJ272/AR272/1100)))</f>
        <v>1.29007021181367</v>
      </c>
      <c r="BX272" s="41">
        <f>BW272*T272*BV272*BP272*N272^0.3*BJ272^0.4/V272^0.325</f>
        <v>1.190511554347405</v>
      </c>
      <c r="BY272" s="29"/>
      <c r="BZ272" s="29"/>
      <c r="CA272" t="s" s="19">
        <v>253</v>
      </c>
      <c r="CB272" s="46">
        <v>36684</v>
      </c>
      <c r="CC272" t="s" s="19">
        <v>254</v>
      </c>
      <c r="CD272" s="3"/>
      <c r="CE272" s="3"/>
      <c r="CF272" s="3"/>
      <c r="CG272" t="s" s="30">
        <f>A272</f>
        <v>1677</v>
      </c>
    </row>
    <row r="273" ht="12.75" customHeight="1">
      <c r="A273" t="s" s="25">
        <v>1678</v>
      </c>
      <c r="B273" t="s" s="19">
        <v>898</v>
      </c>
      <c r="C273" t="s" s="19">
        <v>1679</v>
      </c>
      <c r="D273" t="s" s="19">
        <v>900</v>
      </c>
      <c r="E273" t="s" s="19">
        <v>1680</v>
      </c>
      <c r="F273" t="s" s="19">
        <v>1681</v>
      </c>
      <c r="G273" t="s" s="19">
        <v>1682</v>
      </c>
      <c r="H273" s="32"/>
      <c r="I273" s="32"/>
      <c r="J273" s="36"/>
      <c r="K273" t="s" s="24">
        <v>154</v>
      </c>
      <c r="L273" s="36"/>
      <c r="M273" s="11">
        <v>6.72</v>
      </c>
      <c r="N273" s="5">
        <v>6.72</v>
      </c>
      <c r="O273" s="11">
        <v>4.8</v>
      </c>
      <c r="P273" s="11"/>
      <c r="Q273" t="s" s="24">
        <v>1683</v>
      </c>
      <c r="R273" s="36"/>
      <c r="S273" s="36"/>
      <c r="T273" s="38">
        <f>IF(S273&gt;0,1.048,IF(R273&gt;0,1.048,IF(Q273&gt;0,1.036,0.907+1.55*(P273/N273)-4.449*(P273/N273)^2)))</f>
        <v>1.036</v>
      </c>
      <c r="U273" s="39">
        <v>498</v>
      </c>
      <c r="V273" s="40">
        <f>IF(H273="x",75+U273,IF(M273&lt;6.66,150+U273,-1.7384*M273^2+92.38*M273-388+U273))</f>
        <v>652.2902374399999</v>
      </c>
      <c r="W273" s="5"/>
      <c r="X273" s="5"/>
      <c r="Y273" s="5"/>
      <c r="Z273" s="5"/>
      <c r="AA273" s="5"/>
      <c r="AB273" s="5"/>
      <c r="AC273" s="5"/>
      <c r="AD273" s="33">
        <v>22</v>
      </c>
      <c r="AE273" s="5">
        <f>IF(AD273=0,(W273+4*X273+2*Y273+4*Z273+AA273)*AC273/12+W273*AB273/1.5,AD273)</f>
        <v>22</v>
      </c>
      <c r="AF273" s="11">
        <v>10.8</v>
      </c>
      <c r="AG273" s="11"/>
      <c r="AH273" s="5">
        <f>IF(AC273=0,AE273+AF273*AG273/2,AE273+AC273*AG273/2)</f>
        <v>22</v>
      </c>
      <c r="AI273" s="3"/>
      <c r="AJ273" s="3"/>
      <c r="AK273" s="33">
        <v>8.5</v>
      </c>
      <c r="AL273" s="5">
        <f>IF(AK273=0,AI273*AJ273/2,AK273)</f>
        <v>8.5</v>
      </c>
      <c r="AM273" s="3"/>
      <c r="AN273" s="5"/>
      <c r="AO273" s="5"/>
      <c r="AP273" s="5">
        <f>AL273+AI273*(AN273-AO273)/2</f>
        <v>8.5</v>
      </c>
      <c r="AQ273" s="5">
        <f>0.1*(AE273+AL273)</f>
        <v>3.05</v>
      </c>
      <c r="AR273" s="11">
        <v>10.8</v>
      </c>
      <c r="AS273" s="11"/>
      <c r="AT273" s="11"/>
      <c r="AU273" s="11"/>
      <c r="AV273" s="33">
        <v>22</v>
      </c>
      <c r="AW273" s="5">
        <f>IF(AV273=0,AS273/6*(AT273+AU273*4),AV273)</f>
        <v>22</v>
      </c>
      <c r="AX273" s="11">
        <v>0</v>
      </c>
      <c r="AY273" s="5">
        <f>IF(AX273&lt;0.149*M273+0.329,1,AX273/(0.149*M273+0.329))</f>
        <v>1</v>
      </c>
      <c r="AZ273" s="5">
        <f>IF(AW273*AY273&gt;AL273,(AW273*AY273-AL273)/4,0)</f>
        <v>3.375</v>
      </c>
      <c r="BA273" s="12">
        <f>0.401+0.1831*(2*AR273^2/(AH273+AP273+AZ273))-0.02016*(2*AR273^2/(AH273+AP273+AZ273))^2+0.0007472*(2*AR273^2/(AH273+AP273+AZ273))^3</f>
        <v>0.9498766059025745</v>
      </c>
      <c r="BB273" s="3"/>
      <c r="BC273" s="3"/>
      <c r="BD273" s="3"/>
      <c r="BE273" s="3"/>
      <c r="BF273" s="33">
        <v>45</v>
      </c>
      <c r="BG273" s="5">
        <f>IF(BF273=0,(BC273+BD273)*(BB273/12+BE273/3),BF273)</f>
        <v>45</v>
      </c>
      <c r="BH273" s="5">
        <f>IF(BG273*AY273&gt;AL273+AZ273,BG273*AY273-AL273-AZ273,0)</f>
        <v>33.125</v>
      </c>
      <c r="BI273" s="5">
        <f>IF(M273/1.6&lt;8,ROUND(M273/1.6,0),8)</f>
        <v>4</v>
      </c>
      <c r="BJ273" s="5">
        <f>(AH273+AP273+AZ273)*BA273+0.1*BH273</f>
        <v>35.48957002494971</v>
      </c>
      <c r="BK273" s="11">
        <v>1.02</v>
      </c>
      <c r="BL273" s="5">
        <f>M273*0.2</f>
        <v>1.344</v>
      </c>
      <c r="BM273" s="5">
        <f>ROUNDDOWN(M273/2.13,0)</f>
        <v>3</v>
      </c>
      <c r="BN273" s="12">
        <f>M273/4.26</f>
        <v>1.577464788732394</v>
      </c>
      <c r="BO273" s="5">
        <f>IF(M273&lt;8,1.22,IF(M273&lt;15.2,0.108333*M273+0.353,2))</f>
        <v>1.22</v>
      </c>
      <c r="BP273" s="12">
        <f>IF(BK273&lt;BO273,1+0.3*(BO273-BK273)/M273,1)</f>
        <v>1.008928571428571</v>
      </c>
      <c r="BQ273" s="32"/>
      <c r="BR273" s="32"/>
      <c r="BS273" t="s" s="24">
        <v>154</v>
      </c>
      <c r="BT273" s="36"/>
      <c r="BU273" s="36"/>
      <c r="BV273" s="5">
        <f>IF(BQ273&lt;(M273/0.3048)^0.5,1,IF(BU273="x",1-BR273*0.02,IF(BT273="x",1-BR273*0.01,1)))</f>
        <v>1</v>
      </c>
      <c r="BW273" s="12">
        <f>IF(K273="x",MIN(1.315,1.28+U273*N273/BJ273/AR273/1100),IF(L273="x",1.28,MAX(1.245,1.28-U273*N273/BJ273/AR273/1100)))</f>
        <v>1.287937457948883</v>
      </c>
      <c r="BX273" s="41">
        <f>BW273*T273*BV273*BP273*N273^0.3*BJ273^0.4/V273^0.325</f>
        <v>1.209686243509539</v>
      </c>
      <c r="BY273" s="29"/>
      <c r="BZ273" s="29"/>
      <c r="CA273" t="s" s="19">
        <v>188</v>
      </c>
      <c r="CB273" s="46">
        <v>39873</v>
      </c>
      <c r="CC273" t="s" s="19">
        <v>653</v>
      </c>
      <c r="CD273" s="3"/>
      <c r="CE273" s="3"/>
      <c r="CF273" s="3"/>
      <c r="CG273" t="s" s="30">
        <f>A273</f>
        <v>1684</v>
      </c>
    </row>
    <row r="274" ht="12.75" customHeight="1">
      <c r="A274" t="s" s="25">
        <v>1685</v>
      </c>
      <c r="B274" t="s" s="19">
        <v>1686</v>
      </c>
      <c r="C274" t="s" s="19">
        <v>547</v>
      </c>
      <c r="D274" t="s" s="19">
        <v>345</v>
      </c>
      <c r="E274" t="s" s="19">
        <v>547</v>
      </c>
      <c r="F274" t="s" s="19">
        <v>1687</v>
      </c>
      <c r="G274" s="3"/>
      <c r="H274" s="32"/>
      <c r="I274" s="32"/>
      <c r="J274" s="36"/>
      <c r="K274" t="s" s="24">
        <v>154</v>
      </c>
      <c r="L274" s="36"/>
      <c r="M274" s="11">
        <v>11.27</v>
      </c>
      <c r="N274" s="5">
        <v>11.16</v>
      </c>
      <c r="O274" s="11">
        <v>7.8</v>
      </c>
      <c r="P274" s="11"/>
      <c r="Q274" s="37"/>
      <c r="R274" t="s" s="24">
        <v>1688</v>
      </c>
      <c r="S274" s="36"/>
      <c r="T274" s="38">
        <f>IF(S274&gt;0,1.048,IF(R274&gt;0,1.048,IF(Q274&gt;0,1.036,0.907+1.55*(P274/N274)-4.449*(P274/N274)^2)))</f>
        <v>1.048</v>
      </c>
      <c r="U274" s="39">
        <v>3350</v>
      </c>
      <c r="V274" s="40">
        <f>IF(H274="x",75+U274,IF(M274&lt;6.66,150+U274,-1.7384*M274^2+92.38*M274-388+U274))</f>
        <v>3782.32337464</v>
      </c>
      <c r="W274" s="5"/>
      <c r="X274" s="5"/>
      <c r="Y274" s="5"/>
      <c r="Z274" s="5"/>
      <c r="AA274" s="5"/>
      <c r="AB274" s="5"/>
      <c r="AC274" s="5">
        <v>14.45</v>
      </c>
      <c r="AD274" s="33">
        <v>58.6</v>
      </c>
      <c r="AE274" s="5">
        <f>IF(AD274=0,(W274+4*X274+2*Y274+4*Z274+AA274)*AC274/12+W274*AB274/1.5,AD274)</f>
        <v>58.6</v>
      </c>
      <c r="AF274" s="11">
        <v>15.6</v>
      </c>
      <c r="AG274" s="11">
        <v>0.6</v>
      </c>
      <c r="AH274" s="5">
        <f>IF(AC274=0,AE274+AF274*AG274/2,AE274+AC274*AG274/2)</f>
        <v>62.935</v>
      </c>
      <c r="AI274" s="5">
        <v>12.2</v>
      </c>
      <c r="AJ274" s="3"/>
      <c r="AK274" s="33">
        <v>28.7</v>
      </c>
      <c r="AL274" s="5">
        <f>IF(AK274=0,AI274*AJ274/2,AK274)</f>
        <v>28.7</v>
      </c>
      <c r="AM274" s="3"/>
      <c r="AN274" s="5"/>
      <c r="AO274" s="5">
        <v>0.125</v>
      </c>
      <c r="AP274" s="5">
        <f>AL274+AI274*(AN274-AO274)/2</f>
        <v>27.9375</v>
      </c>
      <c r="AQ274" s="5">
        <f>0.1*(AE274+AL274)</f>
        <v>8.73</v>
      </c>
      <c r="AR274" s="11">
        <v>16.1</v>
      </c>
      <c r="AS274" s="11"/>
      <c r="AT274" s="11"/>
      <c r="AU274" s="11"/>
      <c r="AV274" s="33">
        <v>55</v>
      </c>
      <c r="AW274" s="5">
        <f>IF(AV274=0,AS274/6*(AT274+AU274*4),AV274)</f>
        <v>55</v>
      </c>
      <c r="AX274" s="11">
        <v>2</v>
      </c>
      <c r="AY274" s="5">
        <f>IF(AX274&lt;0.149*M274+0.329,1,AX274/(0.149*M274+0.329))</f>
        <v>1</v>
      </c>
      <c r="AZ274" s="5">
        <f>IF(AW274*AY274&gt;AL274,(AW274*AY274-AL274)/4,0)</f>
        <v>6.575</v>
      </c>
      <c r="BA274" s="12">
        <f>0.401+0.1831*(2*AR274^2/(AH274+AP274+AZ274))-0.02016*(2*AR274^2/(AH274+AP274+AZ274))^2+0.0007472*(2*AR274^2/(AH274+AP274+AZ274))^3</f>
        <v>0.91702036929261</v>
      </c>
      <c r="BB274" s="3"/>
      <c r="BC274" s="3"/>
      <c r="BD274" s="3"/>
      <c r="BE274" s="3"/>
      <c r="BF274" s="33">
        <v>120</v>
      </c>
      <c r="BG274" s="5">
        <f>IF(BF274=0,(BC274+BD274)*(BB274/12+BE274/3),BF274)</f>
        <v>120</v>
      </c>
      <c r="BH274" s="5">
        <f>IF(BG274*AY274&gt;AL274+AZ274,BG274*AY274-AL274-AZ274,0)</f>
        <v>84.72499999999999</v>
      </c>
      <c r="BI274" s="5">
        <f>IF(M274/1.6&lt;8,ROUND(M274/1.6,0),8)</f>
        <v>7</v>
      </c>
      <c r="BJ274" s="5">
        <f>(AH274+AP274+AZ274)*BA274+0.1*BH274</f>
        <v>97.83384243664162</v>
      </c>
      <c r="BK274" s="11">
        <v>2</v>
      </c>
      <c r="BL274" s="5">
        <f>M274*0.2</f>
        <v>2.254</v>
      </c>
      <c r="BM274" s="5">
        <f>ROUNDDOWN(M274/2.13,0)</f>
        <v>5</v>
      </c>
      <c r="BN274" s="12">
        <f>M274/4.26</f>
        <v>2.645539906103286</v>
      </c>
      <c r="BO274" s="5">
        <f>IF(M274&lt;8,1.22,IF(M274&lt;15.2,0.108333*M274+0.353,2))</f>
        <v>1.57391291</v>
      </c>
      <c r="BP274" s="12">
        <f>IF(BK274&lt;BO274,1+0.3*(BO274-BK274)/M274,1)</f>
        <v>1</v>
      </c>
      <c r="BQ274" s="39">
        <v>9</v>
      </c>
      <c r="BR274" s="39">
        <v>1</v>
      </c>
      <c r="BS274" t="s" s="24">
        <v>154</v>
      </c>
      <c r="BT274" s="36"/>
      <c r="BU274" s="36"/>
      <c r="BV274" s="5">
        <f>IF(BQ274&lt;(M274/0.3048)^0.5,1,IF(BU274="x",1-BR274*0.02,IF(BT274="x",1-BR274*0.01,1)))</f>
        <v>1</v>
      </c>
      <c r="BW274" s="12">
        <f>IF(K274="x",MIN(1.315,1.28+U274*N274/BJ274/AR274/1100),IF(L274="x",1.28,MAX(1.245,1.28-U274*N274/BJ274/AR274/1100)))</f>
        <v>1.301577510152166</v>
      </c>
      <c r="BX274" s="41">
        <f>BW274*T274*BV274*BP274*N274^0.3*BJ274^0.4/V274^0.325</f>
        <v>1.209357376114984</v>
      </c>
      <c r="BY274" s="29"/>
      <c r="BZ274" s="29"/>
      <c r="CA274" t="s" s="19">
        <v>346</v>
      </c>
      <c r="CB274" t="s" s="19">
        <v>1689</v>
      </c>
      <c r="CC274" t="s" s="19">
        <v>624</v>
      </c>
      <c r="CD274" s="3"/>
      <c r="CE274" s="3"/>
      <c r="CF274" s="3"/>
      <c r="CG274" t="s" s="30">
        <f>A274</f>
        <v>1690</v>
      </c>
    </row>
    <row r="275" ht="12.75" customHeight="1">
      <c r="A275" t="s" s="25">
        <v>1691</v>
      </c>
      <c r="B275" t="s" s="19">
        <v>1692</v>
      </c>
      <c r="C275" t="s" s="19">
        <v>265</v>
      </c>
      <c r="D275" t="s" s="19">
        <v>334</v>
      </c>
      <c r="E275" t="s" s="19">
        <v>1693</v>
      </c>
      <c r="F275" t="s" s="19">
        <v>1694</v>
      </c>
      <c r="G275" t="s" s="19">
        <v>1695</v>
      </c>
      <c r="H275" s="32"/>
      <c r="I275" s="32"/>
      <c r="J275" t="s" s="24">
        <v>154</v>
      </c>
      <c r="K275" s="36"/>
      <c r="L275" s="36"/>
      <c r="M275" s="11">
        <v>11.98</v>
      </c>
      <c r="N275" s="5">
        <v>11.98</v>
      </c>
      <c r="O275" s="11">
        <v>6.51</v>
      </c>
      <c r="P275" s="11">
        <v>1.2</v>
      </c>
      <c r="Q275" s="37"/>
      <c r="R275" s="36"/>
      <c r="S275" s="36"/>
      <c r="T275" s="38">
        <f>IF(S275&gt;0,1.048,IF(R275&gt;0,1.048,IF(Q275&gt;0,1.036,0.907+1.55*(P275/N275)-4.449*(P275/N275)^2)))</f>
        <v>1.017620093032071</v>
      </c>
      <c r="U275" s="39">
        <v>6600</v>
      </c>
      <c r="V275" s="40">
        <f>IF(H275="x",75+U275,IF(M275&lt;6.66,150+U275,-1.7384*M275^2+92.38*M275-388+U275))</f>
        <v>7069.21653664</v>
      </c>
      <c r="W275" s="5"/>
      <c r="X275" s="5"/>
      <c r="Y275" s="5"/>
      <c r="Z275" s="5"/>
      <c r="AA275" s="5"/>
      <c r="AB275" s="5"/>
      <c r="AC275" s="5"/>
      <c r="AD275" s="33">
        <v>52.5</v>
      </c>
      <c r="AE275" s="5">
        <f>IF(AD275=0,(W275+4*X275+2*Y275+4*Z275+AA275)*AC275/12+W275*AB275/1.5,AD275)</f>
        <v>52.5</v>
      </c>
      <c r="AF275" s="11">
        <v>15.2</v>
      </c>
      <c r="AG275" s="11"/>
      <c r="AH275" s="5">
        <f>IF(AC275=0,AE275+AF275*AG275/2,AE275+AC275*AG275/2)</f>
        <v>52.5</v>
      </c>
      <c r="AI275" s="3"/>
      <c r="AJ275" s="3"/>
      <c r="AK275" s="33">
        <v>30</v>
      </c>
      <c r="AL275" s="5">
        <f>IF(AK275=0,AI275*AJ275/2,AK275)</f>
        <v>30</v>
      </c>
      <c r="AM275" s="3"/>
      <c r="AN275" s="5"/>
      <c r="AO275" s="5">
        <v>0.15</v>
      </c>
      <c r="AP275" s="5">
        <f>AL275+AI275*(AN275-AO275)/2</f>
        <v>30</v>
      </c>
      <c r="AQ275" s="5">
        <f>0.1*(AE275+AL275)</f>
        <v>8.25</v>
      </c>
      <c r="AR275" s="11">
        <v>15.2</v>
      </c>
      <c r="AS275" s="11"/>
      <c r="AT275" s="11"/>
      <c r="AU275" s="11"/>
      <c r="AV275" s="33"/>
      <c r="AW275" s="5">
        <f>IF(AV275=0,AS275/6*(AT275+AU275*4),AV275)</f>
        <v>0</v>
      </c>
      <c r="AX275" s="11"/>
      <c r="AY275" s="5">
        <f>IF(AX275&lt;0.149*M275+0.329,1,AX275/(0.149*M275+0.329))</f>
        <v>1</v>
      </c>
      <c r="AZ275" s="5">
        <f>IF(AW275*AY275&gt;AL275,(AW275*AY275-AL275)/4,0)</f>
        <v>0</v>
      </c>
      <c r="BA275" s="12">
        <f>0.401+0.1831*(2*AR275^2/(AH275+AP275+AZ275))-0.02016*(2*AR275^2/(AH275+AP275+AZ275))^2+0.0007472*(2*AR275^2/(AH275+AP275+AZ275))^3</f>
        <v>0.9253894361213858</v>
      </c>
      <c r="BB275" s="3"/>
      <c r="BC275" s="3"/>
      <c r="BD275" s="3"/>
      <c r="BE275" s="3"/>
      <c r="BF275" s="33">
        <v>99</v>
      </c>
      <c r="BG275" s="5">
        <f>IF(BF275=0,(BC275+BD275)*(BB275/12+BE275/3),BF275)</f>
        <v>99</v>
      </c>
      <c r="BH275" s="5">
        <f>IF(BG275*AY275&gt;AL275+AZ275,BG275*AY275-AL275-AZ275,0)</f>
        <v>69</v>
      </c>
      <c r="BI275" s="5">
        <f>IF(M275/1.6&lt;8,ROUND(M275/1.6,0),8)</f>
        <v>7</v>
      </c>
      <c r="BJ275" s="5">
        <f>(AH275+AP275+AZ275)*BA275+0.1*BH275</f>
        <v>83.24462848001433</v>
      </c>
      <c r="BK275" s="11">
        <v>1.9</v>
      </c>
      <c r="BL275" s="5">
        <f>M275*0.2</f>
        <v>2.396</v>
      </c>
      <c r="BM275" s="5">
        <f>ROUNDDOWN(M275/2.13,0)</f>
        <v>5</v>
      </c>
      <c r="BN275" s="12">
        <f>M275/4.26</f>
        <v>2.812206572769953</v>
      </c>
      <c r="BO275" s="5">
        <f>IF(M275&lt;8,1.22,IF(M275&lt;15.2,0.108333*M275+0.353,2))</f>
        <v>1.65082934</v>
      </c>
      <c r="BP275" s="12">
        <f>IF(BK275&lt;BO275,1+0.3*(BO275-BK275)/M275,1)</f>
        <v>1</v>
      </c>
      <c r="BQ275" s="39">
        <v>8</v>
      </c>
      <c r="BR275" s="39">
        <v>2</v>
      </c>
      <c r="BS275" s="36"/>
      <c r="BT275" t="s" s="24">
        <v>154</v>
      </c>
      <c r="BU275" s="36"/>
      <c r="BV275" s="5">
        <f>IF(BQ275&lt;(M275/0.3048)^0.5,1,IF(BU275="x",1-BR275*0.02,IF(BT275="x",1-BR275*0.01,1)))</f>
        <v>0.98</v>
      </c>
      <c r="BW275" s="12">
        <f>IF(K275="x",MIN(1.315,1.28+U275*N275/BJ275/AR275/1100),IF(L275="x",1.28,MAX(1.245,1.28-U275*N275/BJ275/AR275/1100)))</f>
        <v>1.245</v>
      </c>
      <c r="BX275" s="41">
        <f>BW275*T275*BV275*BP275*N275^0.3*BJ275^0.4/V275^0.325</f>
        <v>0.8602307568766622</v>
      </c>
      <c r="BY275" s="29"/>
      <c r="BZ275" s="29"/>
      <c r="CA275" s="3"/>
      <c r="CB275" s="3"/>
      <c r="CC275" s="3"/>
      <c r="CD275" s="3"/>
      <c r="CE275" s="3"/>
      <c r="CF275" s="3"/>
      <c r="CG275" t="s" s="30">
        <f>A275</f>
        <v>1696</v>
      </c>
    </row>
    <row r="276" ht="12.75" customHeight="1">
      <c r="A276" t="s" s="25">
        <v>1697</v>
      </c>
      <c r="B276" t="s" s="19">
        <v>574</v>
      </c>
      <c r="C276" s="3"/>
      <c r="D276" s="3"/>
      <c r="E276" t="s" s="19">
        <v>1698</v>
      </c>
      <c r="F276" s="3"/>
      <c r="G276" s="3"/>
      <c r="H276" s="32"/>
      <c r="I276" s="32"/>
      <c r="J276" t="s" s="24">
        <v>154</v>
      </c>
      <c r="K276" s="36"/>
      <c r="L276" s="36"/>
      <c r="M276" s="11">
        <v>11.1</v>
      </c>
      <c r="N276" s="5">
        <v>11.1</v>
      </c>
      <c r="O276" s="11"/>
      <c r="P276" s="11">
        <v>1</v>
      </c>
      <c r="Q276" s="37"/>
      <c r="R276" s="36"/>
      <c r="S276" s="36"/>
      <c r="T276" s="38">
        <f>IF(S276&gt;0,1.048,IF(R276&gt;0,1.048,IF(Q276&gt;0,1.036,0.907+1.55*(P276/N276)-4.449*(P276/N276)^2)))</f>
        <v>1.010530557584612</v>
      </c>
      <c r="U276" s="39">
        <v>5000</v>
      </c>
      <c r="V276" s="40">
        <f>IF(H276="x",75+U276,IF(M276&lt;6.66,150+U276,-1.7384*M276^2+92.38*M276-388+U276))</f>
        <v>5423.229736</v>
      </c>
      <c r="W276" s="5"/>
      <c r="X276" s="5"/>
      <c r="Y276" s="5"/>
      <c r="Z276" s="5"/>
      <c r="AA276" s="5"/>
      <c r="AB276" s="5"/>
      <c r="AC276" s="5"/>
      <c r="AD276" s="33">
        <v>62</v>
      </c>
      <c r="AE276" s="5">
        <f>IF(AD276=0,(W276+4*X276+2*Y276+4*Z276+AA276)*AC276/12+W276*AB276/1.5,AD276)</f>
        <v>62</v>
      </c>
      <c r="AF276" s="11"/>
      <c r="AG276" s="11"/>
      <c r="AH276" s="5">
        <f>IF(AC276=0,AE276+AF276*AG276/2,AE276+AC276*AG276/2)</f>
        <v>62</v>
      </c>
      <c r="AI276" s="3"/>
      <c r="AJ276" s="3"/>
      <c r="AK276" s="33">
        <v>43</v>
      </c>
      <c r="AL276" s="5">
        <f>IF(AK276=0,AI276*AJ276/2,AK276)</f>
        <v>43</v>
      </c>
      <c r="AM276" s="3"/>
      <c r="AN276" s="5"/>
      <c r="AO276" s="5"/>
      <c r="AP276" s="5">
        <f>AL276+AI276*(AN276-AO276)/2</f>
        <v>43</v>
      </c>
      <c r="AQ276" s="5">
        <f>0.1*(AE276+AL276)</f>
        <v>10.5</v>
      </c>
      <c r="AR276" s="11">
        <v>16</v>
      </c>
      <c r="AS276" s="11"/>
      <c r="AT276" s="11"/>
      <c r="AU276" s="11"/>
      <c r="AV276" s="33"/>
      <c r="AW276" s="5">
        <f>IF(AV276=0,AS276/6*(AT276+AU276*4),AV276)</f>
        <v>0</v>
      </c>
      <c r="AX276" s="11">
        <v>1</v>
      </c>
      <c r="AY276" s="5">
        <f>IF(AX276&lt;0.149*M276+0.329,1,AX276/(0.149*M276+0.329))</f>
        <v>1</v>
      </c>
      <c r="AZ276" s="5">
        <f>IF(AW276*AY276&gt;AL276,(AW276*AY276-AL276)/4,0)</f>
        <v>0</v>
      </c>
      <c r="BA276" s="12">
        <f>0.401+0.1831*(2*AR276^2/(AH276+AP276+AZ276))-0.02016*(2*AR276^2/(AH276+AP276+AZ276))^2+0.0007472*(2*AR276^2/(AH276+AP276+AZ276))^3</f>
        <v>0.9011135490004102</v>
      </c>
      <c r="BB276" s="3"/>
      <c r="BC276" s="3"/>
      <c r="BD276" s="3"/>
      <c r="BE276" s="3"/>
      <c r="BF276" s="33">
        <v>126</v>
      </c>
      <c r="BG276" s="5">
        <f>IF(BF276=0,(BC276+BD276)*(BB276/12+BE276/3),BF276)</f>
        <v>126</v>
      </c>
      <c r="BH276" s="5">
        <f>IF(BG276*AY276&gt;AL276+AZ276,BG276*AY276-AL276-AZ276,0)</f>
        <v>83</v>
      </c>
      <c r="BI276" s="5">
        <f>IF(M276/1.6&lt;8,ROUND(M276/1.6,0),8)</f>
        <v>7</v>
      </c>
      <c r="BJ276" s="5">
        <f>(AH276+AP276+AZ276)*BA276+0.1*BH276</f>
        <v>102.9169226450431</v>
      </c>
      <c r="BK276" s="11">
        <v>1.8</v>
      </c>
      <c r="BL276" s="5">
        <f>M276*0.2</f>
        <v>2.22</v>
      </c>
      <c r="BM276" s="5">
        <f>ROUNDDOWN(M276/2.13,0)</f>
        <v>5</v>
      </c>
      <c r="BN276" s="12">
        <f>M276/4.26</f>
        <v>2.605633802816901</v>
      </c>
      <c r="BO276" s="5">
        <f>IF(M276&lt;8,1.22,IF(M276&lt;15.2,0.108333*M276+0.353,2))</f>
        <v>1.5554963</v>
      </c>
      <c r="BP276" s="12">
        <f>IF(BK276&lt;BO276,1+0.3*(BO276-BK276)/M276,1)</f>
        <v>1</v>
      </c>
      <c r="BQ276" s="39">
        <v>7</v>
      </c>
      <c r="BR276" s="39">
        <v>2</v>
      </c>
      <c r="BS276" s="36"/>
      <c r="BT276" s="36"/>
      <c r="BU276" t="s" s="24">
        <v>154</v>
      </c>
      <c r="BV276" s="5">
        <f>IF(BQ276&lt;(M276/0.3048)^0.5,1,IF(BU276="x",1-BR276*0.02,IF(BT276="x",1-BR276*0.01,1)))</f>
        <v>0.96</v>
      </c>
      <c r="BW276" s="12">
        <f>IF(K276="x",MIN(1.315,1.28+U276*N276/BJ276/AR276/1100),IF(L276="x",1.28,MAX(1.245,1.28-U276*N276/BJ276/AR276/1100)))</f>
        <v>1.249359663990488</v>
      </c>
      <c r="BX276" s="41">
        <f>BW276*T276*BV276*BP276*N276^0.3*BJ276^0.4/V276^0.325</f>
        <v>0.9737913756170136</v>
      </c>
      <c r="BY276" s="29"/>
      <c r="BZ276" s="48"/>
      <c r="CA276" t="s" s="19">
        <v>162</v>
      </c>
      <c r="CB276" s="42">
        <v>1997</v>
      </c>
      <c r="CC276" t="s" s="19">
        <v>180</v>
      </c>
      <c r="CD276" t="s" s="19">
        <v>1699</v>
      </c>
      <c r="CE276" t="s" s="19">
        <v>1700</v>
      </c>
      <c r="CF276" s="3"/>
      <c r="CG276" t="s" s="30">
        <f>A276</f>
        <v>1701</v>
      </c>
    </row>
    <row r="277" ht="12.75" customHeight="1">
      <c r="A277" t="s" s="25">
        <v>1702</v>
      </c>
      <c r="B277" t="s" s="19">
        <v>1703</v>
      </c>
      <c r="C277" t="s" s="19">
        <v>1704</v>
      </c>
      <c r="D277" t="s" s="19">
        <v>1705</v>
      </c>
      <c r="E277" t="s" s="19">
        <v>1706</v>
      </c>
      <c r="F277" s="3"/>
      <c r="G277" t="s" s="19">
        <v>1707</v>
      </c>
      <c r="H277" s="32"/>
      <c r="I277" s="32"/>
      <c r="J277" s="36"/>
      <c r="K277" t="s" s="24">
        <v>154</v>
      </c>
      <c r="L277" s="36"/>
      <c r="M277" s="11">
        <v>7.99</v>
      </c>
      <c r="N277" s="5">
        <v>7.99</v>
      </c>
      <c r="O277" s="11"/>
      <c r="P277" s="11"/>
      <c r="Q277" s="37"/>
      <c r="R277" t="s" s="24">
        <v>1596</v>
      </c>
      <c r="S277" s="36"/>
      <c r="T277" s="38">
        <f>IF(S277&gt;0,1.048,IF(R277&gt;0,1.048,IF(Q277&gt;0,1.036,0.907+1.55*(P277/N277)-4.449*(P277/N277)^2)))</f>
        <v>1.048</v>
      </c>
      <c r="U277" s="39">
        <v>1300</v>
      </c>
      <c r="V277" s="40">
        <f>IF(H277="x",75+U277,IF(M277&lt;6.66,150+U277,-1.7384*M277^2+92.38*M277-388+U277))</f>
        <v>1539.13657016</v>
      </c>
      <c r="W277" s="5"/>
      <c r="X277" s="5"/>
      <c r="Y277" s="5"/>
      <c r="Z277" s="5"/>
      <c r="AA277" s="5"/>
      <c r="AB277" s="5"/>
      <c r="AC277" s="5">
        <v>10.8</v>
      </c>
      <c r="AD277" s="33">
        <v>26.75</v>
      </c>
      <c r="AE277" s="5">
        <f>IF(AD277=0,(W277+4*X277+2*Y277+4*Z277+AA277)*AC277/12+W277*AB277/1.5,AD277)</f>
        <v>26.75</v>
      </c>
      <c r="AF277" s="11">
        <v>11.2</v>
      </c>
      <c r="AG277" s="11">
        <v>0.496</v>
      </c>
      <c r="AH277" s="5">
        <f>IF(AC277=0,AE277+AF277*AG277/2,AE277+AC277*AG277/2)</f>
        <v>29.4284</v>
      </c>
      <c r="AI277" s="3"/>
      <c r="AJ277" s="3"/>
      <c r="AK277" s="33">
        <v>15.27</v>
      </c>
      <c r="AL277" s="5">
        <f>IF(AK277=0,AI277*AJ277/2,AK277)</f>
        <v>15.27</v>
      </c>
      <c r="AM277" s="3"/>
      <c r="AN277" s="5"/>
      <c r="AO277" s="5"/>
      <c r="AP277" s="5">
        <f>AL277+AI277*(AN277-AO277)/2</f>
        <v>15.27</v>
      </c>
      <c r="AQ277" s="5">
        <f>0.1*(AE277+AL277)</f>
        <v>4.202</v>
      </c>
      <c r="AR277" s="11">
        <v>11.2</v>
      </c>
      <c r="AS277" s="11"/>
      <c r="AT277" s="11"/>
      <c r="AU277" s="11"/>
      <c r="AV277" s="33">
        <v>36.54</v>
      </c>
      <c r="AW277" s="5">
        <f>IF(AV277=0,AS277/6*(AT277+AU277*4),AV277)</f>
        <v>36.54</v>
      </c>
      <c r="AX277" s="11">
        <v>1.95</v>
      </c>
      <c r="AY277" s="5">
        <f>IF(AX277&lt;0.149*M277+0.329,1,AX277/(0.149*M277+0.329))</f>
        <v>1.283308434956006</v>
      </c>
      <c r="AZ277" s="5">
        <f>IF(AW277*AY277&gt;AL277,(AW277*AY277-AL277)/4,0)</f>
        <v>7.90552255332311</v>
      </c>
      <c r="BA277" s="12">
        <f>0.401+0.1831*(2*AR277^2/(AH277+AP277+AZ277))-0.02016*(2*AR277^2/(AH277+AP277+AZ277))^2+0.0007472*(2*AR277^2/(AH277+AP277+AZ277))^3</f>
        <v>0.896750811192372</v>
      </c>
      <c r="BB277" s="3"/>
      <c r="BC277" s="3"/>
      <c r="BD277" s="3"/>
      <c r="BE277" s="3"/>
      <c r="BF277" s="33">
        <v>79</v>
      </c>
      <c r="BG277" s="5">
        <f>IF(BF277=0,(BC277+BD277)*(BB277/12+BE277/3),BF277)</f>
        <v>79</v>
      </c>
      <c r="BH277" s="5">
        <f>IF(BG277*AY277&gt;AL277+AZ277,BG277*AY277-AL277-AZ277,0)</f>
        <v>78.20584380820134</v>
      </c>
      <c r="BI277" s="5">
        <f>IF(M277/1.6&lt;8,ROUND(M277/1.6,0),8)</f>
        <v>5</v>
      </c>
      <c r="BJ277" s="5">
        <f>(AH277+AP277+AZ277)*BA277+0.1*BH277</f>
        <v>54.99319460241335</v>
      </c>
      <c r="BK277" s="11">
        <v>1.95</v>
      </c>
      <c r="BL277" s="5">
        <f>M277*0.2</f>
        <v>1.598</v>
      </c>
      <c r="BM277" s="5">
        <f>ROUNDDOWN(M277/2.13,0)</f>
        <v>3</v>
      </c>
      <c r="BN277" s="12">
        <f>M277/4.26</f>
        <v>1.875586854460094</v>
      </c>
      <c r="BO277" s="5">
        <f>IF(M277&lt;8,1.22,IF(M277&lt;15.2,0.108333*M277+0.353,2))</f>
        <v>1.22</v>
      </c>
      <c r="BP277" s="12">
        <f>IF(BK277&lt;BO277,1+0.3*(BO277-BK277)/M277,1)</f>
        <v>1</v>
      </c>
      <c r="BQ277" s="32"/>
      <c r="BR277" s="39">
        <v>0</v>
      </c>
      <c r="BS277" t="s" s="24">
        <v>154</v>
      </c>
      <c r="BT277" s="36"/>
      <c r="BU277" s="36"/>
      <c r="BV277" s="5">
        <f>IF(BQ277&lt;(M277/0.3048)^0.5,1,IF(BU277="x",1-BR277*0.02,IF(BT277="x",1-BR277*0.01,1)))</f>
        <v>1</v>
      </c>
      <c r="BW277" s="12">
        <f>IF(K277="x",MIN(1.315,1.28+U277*N277/BJ277/AR277/1100),IF(L277="x",1.28,MAX(1.245,1.28-U277*N277/BJ277/AR277/1100)))</f>
        <v>1.295330999689072</v>
      </c>
      <c r="BX277" s="41">
        <f>BW277*T277*BV277*BP277*N277^0.3*BJ277^0.4/V277^0.325</f>
        <v>1.15814938011041</v>
      </c>
      <c r="BY277" s="29"/>
      <c r="BZ277" s="29"/>
      <c r="CA277" t="s" s="19">
        <v>162</v>
      </c>
      <c r="CB277" t="s" s="19">
        <v>1321</v>
      </c>
      <c r="CC277" t="s" s="19">
        <v>254</v>
      </c>
      <c r="CD277" s="3"/>
      <c r="CE277" s="3"/>
      <c r="CF277" s="3"/>
      <c r="CG277" t="s" s="30">
        <f>A277</f>
        <v>1708</v>
      </c>
    </row>
    <row r="278" ht="12.75" customHeight="1">
      <c r="A278" t="s" s="25">
        <v>1709</v>
      </c>
      <c r="B278" t="s" s="19">
        <v>1710</v>
      </c>
      <c r="C278" t="s" s="19">
        <v>1711</v>
      </c>
      <c r="D278" t="s" s="19">
        <v>1712</v>
      </c>
      <c r="E278" t="s" s="19">
        <v>326</v>
      </c>
      <c r="F278" s="3"/>
      <c r="G278" s="3"/>
      <c r="H278" s="32"/>
      <c r="I278" s="32"/>
      <c r="J278" s="36"/>
      <c r="K278" t="s" s="24">
        <v>154</v>
      </c>
      <c r="L278" s="36"/>
      <c r="M278" s="11">
        <v>13.71</v>
      </c>
      <c r="N278" s="5">
        <v>13.61</v>
      </c>
      <c r="O278" s="11">
        <v>9.220000000000001</v>
      </c>
      <c r="P278" s="11"/>
      <c r="Q278" s="37"/>
      <c r="R278" t="s" s="24">
        <v>1713</v>
      </c>
      <c r="S278" s="36"/>
      <c r="T278" s="38">
        <f>IF(S278&gt;0,1.048,IF(R278&gt;0,1.048,IF(Q278&gt;0,1.036,0.907+1.55*(P278/N278)-4.449*(P278/N278)^2)))</f>
        <v>1.048</v>
      </c>
      <c r="U278" s="39">
        <v>4700</v>
      </c>
      <c r="V278" s="40">
        <f>IF(H278="x",75+U278,IF(M278&lt;6.66,150+U278,-1.7384*M278^2+92.38*M278-388+U278))</f>
        <v>5251.77300856</v>
      </c>
      <c r="W278" s="5">
        <v>5.3</v>
      </c>
      <c r="X278" s="5"/>
      <c r="Y278" s="5"/>
      <c r="Z278" s="5"/>
      <c r="AA278" s="5"/>
      <c r="AB278" s="5"/>
      <c r="AC278" s="5">
        <v>18.11</v>
      </c>
      <c r="AD278" s="33">
        <v>64</v>
      </c>
      <c r="AE278" s="5">
        <f>IF(AD278=0,(W278+4*X278+2*Y278+4*Z278+AA278)*AC278/12+W278*AB278/1.5,AD278)</f>
        <v>64</v>
      </c>
      <c r="AF278" s="11">
        <v>19.2</v>
      </c>
      <c r="AG278" s="11">
        <v>1.104</v>
      </c>
      <c r="AH278" s="5">
        <f>IF(AC278=0,AE278+AF278*AG278/2,AE278+AC278*AG278/2)</f>
        <v>73.99672</v>
      </c>
      <c r="AI278" s="5">
        <v>13.8</v>
      </c>
      <c r="AJ278" s="3"/>
      <c r="AK278" s="33">
        <v>57</v>
      </c>
      <c r="AL278" s="5">
        <f>IF(AK278=0,AI278*AJ278/2,AK278)</f>
        <v>57</v>
      </c>
      <c r="AM278" s="3"/>
      <c r="AN278" s="5"/>
      <c r="AO278" s="5"/>
      <c r="AP278" s="5">
        <f>AL278+AI278*(AN278-AO278)/2</f>
        <v>57</v>
      </c>
      <c r="AQ278" s="5">
        <f>0.1*(AE278+AL278)</f>
        <v>12.1</v>
      </c>
      <c r="AR278" s="11">
        <v>18.57</v>
      </c>
      <c r="AS278" s="11"/>
      <c r="AT278" s="11"/>
      <c r="AU278" s="11"/>
      <c r="AV278" s="33"/>
      <c r="AW278" s="5">
        <f>IF(AV278=0,AS278/6*(AT278+AU278*4),AV278)</f>
        <v>0</v>
      </c>
      <c r="AX278" s="11">
        <v>1.2</v>
      </c>
      <c r="AY278" s="5">
        <f>IF(AX278&lt;0.149*M278+0.329,1,AX278/(0.149*M278+0.329))</f>
        <v>1</v>
      </c>
      <c r="AZ278" s="5">
        <f>IF(AW278*AY278&gt;AL278,(AW278*AY278-AL278)/4,0)</f>
        <v>0</v>
      </c>
      <c r="BA278" s="12">
        <f>0.401+0.1831*(2*AR278^2/(AH278+AP278+AZ278))-0.02016*(2*AR278^2/(AH278+AP278+AZ278))^2+0.0007472*(2*AR278^2/(AH278+AP278+AZ278))^3</f>
        <v>0.9152313558501962</v>
      </c>
      <c r="BB278" s="3"/>
      <c r="BC278" s="3"/>
      <c r="BD278" s="3"/>
      <c r="BE278" s="3"/>
      <c r="BF278" s="33">
        <v>190</v>
      </c>
      <c r="BG278" s="5">
        <f>IF(BF278=0,(BC278+BD278)*(BB278/12+BE278/3),BF278)</f>
        <v>190</v>
      </c>
      <c r="BH278" s="5">
        <f>IF(BG278*AY278&gt;AL278+AZ278,BG278*AY278-AL278-AZ278,0)</f>
        <v>133</v>
      </c>
      <c r="BI278" s="42">
        <f>IF(M278/1.6&lt;8,ROUND(M278/1.6,0),8)</f>
        <v>8</v>
      </c>
      <c r="BJ278" s="5">
        <f>(AH278+AP278+AZ278)*BA278+0.1*BH278</f>
        <v>133.1923056575285</v>
      </c>
      <c r="BK278" s="11">
        <v>1.9</v>
      </c>
      <c r="BL278" s="5">
        <f>M278*0.2</f>
        <v>2.742</v>
      </c>
      <c r="BM278" s="5">
        <f>ROUNDDOWN(M278/2.13,0)</f>
        <v>6</v>
      </c>
      <c r="BN278" s="12">
        <f>M278/4.26</f>
        <v>3.21830985915493</v>
      </c>
      <c r="BO278" s="5">
        <f>IF(M278&lt;8,1.22,IF(M278&lt;15.2,0.108333*M278+0.353,2))</f>
        <v>1.83824543</v>
      </c>
      <c r="BP278" s="12">
        <f>IF(BK278&lt;BO278,1+0.3*(BO278-BK278)/M278,1)</f>
        <v>1</v>
      </c>
      <c r="BQ278" s="39">
        <v>8</v>
      </c>
      <c r="BR278" s="39">
        <v>1</v>
      </c>
      <c r="BS278" s="36"/>
      <c r="BT278" t="s" s="24">
        <v>154</v>
      </c>
      <c r="BU278" s="36"/>
      <c r="BV278" s="5">
        <f>IF(BQ278&lt;(M278/0.3048)^0.5,1,IF(BU278="x",1-BR278*0.02,IF(BT278="x",1-BR278*0.01,1)))</f>
        <v>0.99</v>
      </c>
      <c r="BW278" s="12">
        <f>IF(K278="x",MIN(1.315,1.28+U278*N278/BJ278/AR278/1100),IF(L278="x",1.28,MAX(1.245,1.28-U278*N278/BJ278/AR278/1100)))</f>
        <v>1.303511062571079</v>
      </c>
      <c r="BX278" s="41">
        <f>BW278*T278*BV278*BP278*N278^0.3*BJ278^0.4/V278^0.325</f>
        <v>1.294079204119809</v>
      </c>
      <c r="BY278" s="29"/>
      <c r="BZ278" s="48"/>
      <c r="CA278" t="s" s="19">
        <v>213</v>
      </c>
      <c r="CB278" t="s" s="19">
        <v>370</v>
      </c>
      <c r="CC278" t="s" s="19">
        <v>614</v>
      </c>
      <c r="CD278" s="3"/>
      <c r="CE278" s="3"/>
      <c r="CF278" s="3"/>
      <c r="CG278" t="s" s="30">
        <f>A278</f>
        <v>1714</v>
      </c>
    </row>
    <row r="279" ht="12.75" customHeight="1">
      <c r="A279" t="s" s="25">
        <v>1715</v>
      </c>
      <c r="B279" t="s" s="19">
        <v>964</v>
      </c>
      <c r="C279" t="s" s="19">
        <v>242</v>
      </c>
      <c r="D279" t="s" s="19">
        <v>243</v>
      </c>
      <c r="E279" t="s" s="19">
        <v>1716</v>
      </c>
      <c r="F279" t="s" s="19">
        <v>1717</v>
      </c>
      <c r="G279" s="3"/>
      <c r="H279" s="32"/>
      <c r="I279" s="32"/>
      <c r="J279" t="s" s="24">
        <v>154</v>
      </c>
      <c r="K279" s="36"/>
      <c r="L279" s="36"/>
      <c r="M279" s="11">
        <v>13.61</v>
      </c>
      <c r="N279" s="5">
        <v>13.18</v>
      </c>
      <c r="O279" s="11">
        <v>7.68</v>
      </c>
      <c r="P279" s="11">
        <v>1.3</v>
      </c>
      <c r="Q279" s="37"/>
      <c r="R279" s="36"/>
      <c r="S279" s="36"/>
      <c r="T279" s="38">
        <f>IF(S279&gt;0,1.048,IF(R279&gt;0,1.048,IF(Q279&gt;0,1.036,0.907+1.55*(P279/N279)-4.449*(P279/N279)^2)))</f>
        <v>1.01660006309279</v>
      </c>
      <c r="U279" s="39">
        <v>10500</v>
      </c>
      <c r="V279" s="40">
        <f>IF(H279="x",75+U279,IF(M279&lt;6.66,150+U279,-1.7384*M279^2+92.38*M279-388+U279))</f>
        <v>11047.28431736</v>
      </c>
      <c r="W279" s="5"/>
      <c r="X279" s="5"/>
      <c r="Y279" s="5"/>
      <c r="Z279" s="5"/>
      <c r="AA279" s="5"/>
      <c r="AB279" s="5"/>
      <c r="AC279" s="5"/>
      <c r="AD279" s="33">
        <v>74</v>
      </c>
      <c r="AE279" s="5">
        <f>IF(AD279=0,(W279+4*X279+2*Y279+4*Z279+AA279)*AC279/12+W279*AB279/1.5,AD279)</f>
        <v>74</v>
      </c>
      <c r="AF279" s="11">
        <v>17.3</v>
      </c>
      <c r="AG279" s="11"/>
      <c r="AH279" s="5">
        <f>IF(AC279=0,AE279+AF279*AG279/2,AE279+AC279*AG279/2)</f>
        <v>74</v>
      </c>
      <c r="AI279" s="3"/>
      <c r="AJ279" s="3"/>
      <c r="AK279" s="33">
        <v>38</v>
      </c>
      <c r="AL279" s="5">
        <f>IF(AK279=0,AI279*AJ279/2,AK279)</f>
        <v>38</v>
      </c>
      <c r="AM279" s="3"/>
      <c r="AN279" s="5"/>
      <c r="AO279" s="5">
        <v>0.1</v>
      </c>
      <c r="AP279" s="5">
        <f>AL279+AI279*(AN279-AO279)/2</f>
        <v>38</v>
      </c>
      <c r="AQ279" s="5">
        <f>0.1*(AE279+AL279)</f>
        <v>11.2</v>
      </c>
      <c r="AR279" s="11">
        <v>16.05</v>
      </c>
      <c r="AS279" s="11"/>
      <c r="AT279" s="11"/>
      <c r="AU279" s="11"/>
      <c r="AV279" s="33">
        <v>78</v>
      </c>
      <c r="AW279" s="5">
        <f>IF(AV279=0,AS279/6*(AT279+AU279*4),AV279)</f>
        <v>78</v>
      </c>
      <c r="AX279" s="11">
        <v>0.4</v>
      </c>
      <c r="AY279" s="5">
        <f>IF(AX279&lt;0.149*M279+0.329,1,AX279/(0.149*M279+0.329))</f>
        <v>1</v>
      </c>
      <c r="AZ279" s="5">
        <f>IF(AW279*AY279&gt;AL279,(AW279*AY279-AL279)/4,0)</f>
        <v>10</v>
      </c>
      <c r="BA279" s="12">
        <f>0.401+0.1831*(2*AR279^2/(AH279+AP279+AZ279))-0.02016*(2*AR279^2/(AH279+AP279+AZ279))^2+0.0007472*(2*AR279^2/(AH279+AP279+AZ279))^3</f>
        <v>0.8709758955637135</v>
      </c>
      <c r="BB279" s="3"/>
      <c r="BC279" s="3"/>
      <c r="BD279" s="3"/>
      <c r="BE279" s="3"/>
      <c r="BF279" s="33"/>
      <c r="BG279" s="5">
        <f>IF(BF279=0,(BC279+BD279)*(BB279/12+BE279/3),BF279)</f>
        <v>0</v>
      </c>
      <c r="BH279" s="5">
        <f>IF(BG279*AY279&gt;AL279+AZ279,BG279*AY279-AL279-AZ279,0)</f>
        <v>0</v>
      </c>
      <c r="BI279" s="42">
        <f>IF(M279/1.6&lt;8,ROUND(M279/1.6,0),8)</f>
        <v>8</v>
      </c>
      <c r="BJ279" s="5">
        <f>(AH279+AP279+AZ279)*BA279+0.1*BH279</f>
        <v>106.259059258773</v>
      </c>
      <c r="BK279" s="11">
        <v>2</v>
      </c>
      <c r="BL279" s="5">
        <f>M279*0.2</f>
        <v>2.722</v>
      </c>
      <c r="BM279" s="5">
        <f>ROUNDDOWN(M279/2.13,0)</f>
        <v>6</v>
      </c>
      <c r="BN279" s="12">
        <f>M279/4.26</f>
        <v>3.194835680751174</v>
      </c>
      <c r="BO279" s="5">
        <f>IF(M279&lt;8,1.22,IF(M279&lt;15.2,0.108333*M279+0.353,2))</f>
        <v>1.82741213</v>
      </c>
      <c r="BP279" s="12">
        <f>IF(BK279&lt;BO279,1+0.3*(BO279-BK279)/M279,1)</f>
        <v>1</v>
      </c>
      <c r="BQ279" s="39">
        <v>7</v>
      </c>
      <c r="BR279" s="39">
        <v>2</v>
      </c>
      <c r="BS279" s="36"/>
      <c r="BT279" s="36"/>
      <c r="BU279" t="s" s="24">
        <v>154</v>
      </c>
      <c r="BV279" s="5">
        <f>IF(BQ279&lt;(M279/0.3048)^0.5,1,IF(BU279="x",1-BR279*0.02,IF(BT279="x",1-BR279*0.01,1)))</f>
        <v>0.96</v>
      </c>
      <c r="BW279" s="12">
        <f>IF(K279="x",MIN(1.315,1.28+U279*N279/BJ279/AR279/1100),IF(L279="x",1.28,MAX(1.245,1.28-U279*N279/BJ279/AR279/1100)))</f>
        <v>1.245</v>
      </c>
      <c r="BX279" s="41">
        <f>BW279*T279*BV279*BP279*N279^0.3*BJ279^0.4/V279^0.325</f>
        <v>0.8261400542777186</v>
      </c>
      <c r="BY279" s="29"/>
      <c r="BZ279" s="29"/>
      <c r="CA279" s="3"/>
      <c r="CB279" s="3"/>
      <c r="CC279" s="3"/>
      <c r="CD279" s="3"/>
      <c r="CE279" s="3"/>
      <c r="CF279" s="3"/>
      <c r="CG279" t="s" s="30">
        <f>A279</f>
        <v>1718</v>
      </c>
    </row>
    <row r="280" ht="12.75" customHeight="1">
      <c r="A280" t="s" s="25">
        <v>1719</v>
      </c>
      <c r="B280" t="s" s="19">
        <v>1200</v>
      </c>
      <c r="C280" t="s" s="19">
        <v>213</v>
      </c>
      <c r="D280" t="s" s="19">
        <v>1201</v>
      </c>
      <c r="E280" t="s" s="19">
        <v>1720</v>
      </c>
      <c r="F280" s="3"/>
      <c r="G280" s="3"/>
      <c r="H280" s="32"/>
      <c r="I280" s="32"/>
      <c r="J280" t="s" s="24">
        <v>154</v>
      </c>
      <c r="K280" s="36"/>
      <c r="L280" s="36"/>
      <c r="M280" s="11">
        <v>9.49</v>
      </c>
      <c r="N280" s="5">
        <v>9.49</v>
      </c>
      <c r="O280" s="11">
        <v>5.9</v>
      </c>
      <c r="P280" s="11">
        <v>0.76</v>
      </c>
      <c r="Q280" s="37"/>
      <c r="R280" s="36"/>
      <c r="S280" s="36"/>
      <c r="T280" s="38">
        <f>IF(S280&gt;0,1.048,IF(R280&gt;0,1.048,IF(Q280&gt;0,1.036,0.907+1.55*(P280/N280)-4.449*(P280/N280)^2)))</f>
        <v>1.002597024653537</v>
      </c>
      <c r="U280" s="39">
        <v>2450</v>
      </c>
      <c r="V280" s="40">
        <f>IF(H280="x",75+U280,IF(M280&lt;6.66,150+U280,-1.7384*M280^2+92.38*M280-388+U280))</f>
        <v>2782.12572216</v>
      </c>
      <c r="W280" s="5"/>
      <c r="X280" s="5"/>
      <c r="Y280" s="5"/>
      <c r="Z280" s="5"/>
      <c r="AA280" s="5"/>
      <c r="AB280" s="5"/>
      <c r="AC280" s="5"/>
      <c r="AD280" s="33">
        <v>37</v>
      </c>
      <c r="AE280" s="5">
        <f>IF(AD280=0,(W280+4*X280+2*Y280+4*Z280+AA280)*AC280/12+W280*AB280/1.5,AD280)</f>
        <v>37</v>
      </c>
      <c r="AF280" s="11">
        <v>12.5</v>
      </c>
      <c r="AG280" s="11"/>
      <c r="AH280" s="5">
        <f>IF(AC280=0,AE280+AF280*AG280/2,AE280+AC280*AG280/2)</f>
        <v>37</v>
      </c>
      <c r="AI280" s="5">
        <v>10.6</v>
      </c>
      <c r="AJ280" s="3"/>
      <c r="AK280" s="33">
        <v>23</v>
      </c>
      <c r="AL280" s="5">
        <f>IF(AK280=0,AI280*AJ280/2,AK280)</f>
        <v>23</v>
      </c>
      <c r="AM280" s="3"/>
      <c r="AN280" s="5"/>
      <c r="AO280" s="5">
        <v>0.098</v>
      </c>
      <c r="AP280" s="5">
        <f>AL280+AI280*(AN280-AO280)/2</f>
        <v>22.4806</v>
      </c>
      <c r="AQ280" s="5">
        <f>0.1*(AE280+AL280)</f>
        <v>6</v>
      </c>
      <c r="AR280" s="11">
        <v>13.07</v>
      </c>
      <c r="AS280" s="11"/>
      <c r="AT280" s="11"/>
      <c r="AU280" s="11"/>
      <c r="AV280" s="33">
        <v>33</v>
      </c>
      <c r="AW280" s="5">
        <f>IF(AV280=0,AS280/6*(AT280+AU280*4),AV280)</f>
        <v>33</v>
      </c>
      <c r="AX280" s="11">
        <v>1.2</v>
      </c>
      <c r="AY280" s="5">
        <f>IF(AX280&lt;0.149*M280+0.329,1,AX280/(0.149*M280+0.329))</f>
        <v>1</v>
      </c>
      <c r="AZ280" s="5">
        <f>IF(AW280*AY280&gt;AL280,(AW280*AY280-AL280)/4,0)</f>
        <v>2.5</v>
      </c>
      <c r="BA280" s="12">
        <f>0.401+0.1831*(2*AR280^2/(AH280+AP280+AZ280))-0.02016*(2*AR280^2/(AH280+AP280+AZ280))^2+0.0007472*(2*AR280^2/(AH280+AP280+AZ280))^3</f>
        <v>0.9228800035393763</v>
      </c>
      <c r="BB280" s="5">
        <v>7.4</v>
      </c>
      <c r="BC280" s="5">
        <v>14.1</v>
      </c>
      <c r="BD280" s="5">
        <v>14.1</v>
      </c>
      <c r="BE280" s="5">
        <v>7.4</v>
      </c>
      <c r="BF280" s="33"/>
      <c r="BG280" s="5">
        <f>IF(BF280=0,(BC280+BD280)*(BB280/12+BE280/3),BF280)</f>
        <v>86.95</v>
      </c>
      <c r="BH280" s="5">
        <f>IF(BG280*AY280&gt;AL280+AZ280,BG280*AY280-AL280-AZ280,0)</f>
        <v>61.45</v>
      </c>
      <c r="BI280" s="5">
        <f>IF(M280/1.6&lt;8,ROUND(M280/1.6,0),8)</f>
        <v>6</v>
      </c>
      <c r="BJ280" s="5">
        <f>(AH280+AP280+AZ280)*BA280+0.1*BH280</f>
        <v>63.34565634737266</v>
      </c>
      <c r="BK280" s="11">
        <v>1.8</v>
      </c>
      <c r="BL280" s="5">
        <f>M280*0.2</f>
        <v>1.898</v>
      </c>
      <c r="BM280" s="5">
        <f>ROUNDDOWN(M280/2.13,0)</f>
        <v>4</v>
      </c>
      <c r="BN280" s="12">
        <f>M280/4.26</f>
        <v>2.227699530516432</v>
      </c>
      <c r="BO280" s="5">
        <f>IF(M280&lt;8,1.22,IF(M280&lt;15.2,0.108333*M280+0.353,2))</f>
        <v>1.38108017</v>
      </c>
      <c r="BP280" s="12">
        <f>IF(BK280&lt;BO280,1+0.3*(BO280-BK280)/M280,1)</f>
        <v>1</v>
      </c>
      <c r="BQ280" s="39">
        <v>7</v>
      </c>
      <c r="BR280" s="39">
        <v>0</v>
      </c>
      <c r="BS280" t="s" s="24">
        <v>154</v>
      </c>
      <c r="BT280" s="36"/>
      <c r="BU280" s="36"/>
      <c r="BV280" s="5">
        <f>IF(BQ280&lt;(M280/0.3048)^0.5,1,IF(BU280="x",1-BR280*0.02,IF(BT280="x",1-BR280*0.01,1)))</f>
        <v>1</v>
      </c>
      <c r="BW280" s="12">
        <f>IF(K280="x",MIN(1.315,1.28+U280*N280/BJ280/AR280/1100),IF(L280="x",1.28,MAX(1.245,1.28-U280*N280/BJ280/AR280/1100)))</f>
        <v>1.254470213455551</v>
      </c>
      <c r="BX280" s="41">
        <f>BW280*T280*BV280*BP280*N280^0.3*BJ280^0.4/V280^0.325</f>
        <v>0.9863497090963185</v>
      </c>
      <c r="BY280" s="29"/>
      <c r="BZ280" s="44">
        <v>900</v>
      </c>
      <c r="CA280" t="s" s="19">
        <v>761</v>
      </c>
      <c r="CB280" t="s" s="19">
        <v>1296</v>
      </c>
      <c r="CC280" t="s" s="19">
        <v>614</v>
      </c>
      <c r="CD280" t="s" s="19">
        <v>1721</v>
      </c>
      <c r="CE280" t="s" s="19">
        <v>1700</v>
      </c>
      <c r="CF280" s="3"/>
      <c r="CG280" t="s" s="30">
        <f>A280</f>
        <v>1722</v>
      </c>
    </row>
    <row r="281" ht="12.75" customHeight="1">
      <c r="A281" t="s" s="25">
        <v>1723</v>
      </c>
      <c r="B281" t="s" s="19">
        <v>1724</v>
      </c>
      <c r="C281" t="s" s="19">
        <v>1725</v>
      </c>
      <c r="D281" t="s" s="19">
        <v>1726</v>
      </c>
      <c r="E281" t="s" s="19">
        <v>1727</v>
      </c>
      <c r="F281" t="s" s="19">
        <v>1728</v>
      </c>
      <c r="G281" t="s" s="19">
        <v>1729</v>
      </c>
      <c r="H281" s="32"/>
      <c r="I281" s="32"/>
      <c r="J281" s="36"/>
      <c r="K281" t="s" s="24">
        <v>154</v>
      </c>
      <c r="L281" s="36"/>
      <c r="M281" s="11">
        <v>7.49</v>
      </c>
      <c r="N281" s="5">
        <v>7.2</v>
      </c>
      <c r="O281" s="11">
        <v>6.99</v>
      </c>
      <c r="P281" s="11"/>
      <c r="Q281" s="37"/>
      <c r="R281" s="43">
        <v>1.8</v>
      </c>
      <c r="S281" s="36"/>
      <c r="T281" s="38">
        <f>IF(S281&gt;0,1.048,IF(R281&gt;0,1.048,IF(Q281&gt;0,1.036,0.907+1.55*(P281/N281)-4.449*(P281/N281)^2)))</f>
        <v>1.048</v>
      </c>
      <c r="U281" s="39">
        <v>600</v>
      </c>
      <c r="V281" s="40">
        <f>IF(H281="x",75+U281,IF(M281&lt;6.66,150+U281,-1.7384*M281^2+92.38*M281-388+U281))</f>
        <v>806.40178616</v>
      </c>
      <c r="W281" s="5"/>
      <c r="X281" s="5"/>
      <c r="Y281" s="5"/>
      <c r="Z281" s="5"/>
      <c r="AA281" s="5"/>
      <c r="AB281" s="5"/>
      <c r="AC281" s="5">
        <v>11.3</v>
      </c>
      <c r="AD281" s="33">
        <v>32</v>
      </c>
      <c r="AE281" s="5">
        <f>IF(AD281=0,(W281+4*X281+2*Y281+4*Z281+AA281)*AC281/12+W281*AB281/1.5,AD281)</f>
        <v>32</v>
      </c>
      <c r="AF281" s="11">
        <v>12</v>
      </c>
      <c r="AG281" s="11">
        <v>0.7</v>
      </c>
      <c r="AH281" s="5">
        <f>IF(AC281=0,AE281+AF281*AG281/2,AE281+AC281*AG281/2)</f>
        <v>35.955</v>
      </c>
      <c r="AI281" s="5">
        <v>9.6</v>
      </c>
      <c r="AJ281" s="3"/>
      <c r="AK281" s="33">
        <v>17</v>
      </c>
      <c r="AL281" s="5">
        <f>IF(AK281=0,AI281*AJ281/2,AK281)</f>
        <v>17</v>
      </c>
      <c r="AM281" s="3"/>
      <c r="AN281" s="5">
        <v>0.08</v>
      </c>
      <c r="AO281" s="5"/>
      <c r="AP281" s="5">
        <f>AL281+AI281*(AN281-AO281)/2</f>
        <v>17.384</v>
      </c>
      <c r="AQ281" s="5">
        <f>0.1*(AE281+AL281)</f>
        <v>4.9</v>
      </c>
      <c r="AR281" s="11">
        <v>12</v>
      </c>
      <c r="AS281" s="11"/>
      <c r="AT281" s="11"/>
      <c r="AU281" s="11"/>
      <c r="AV281" s="33">
        <v>30</v>
      </c>
      <c r="AW281" s="5">
        <f>IF(AV281=0,AS281/6*(AT281+AU281*4),AV281)</f>
        <v>30</v>
      </c>
      <c r="AX281" s="11">
        <v>1.4</v>
      </c>
      <c r="AY281" s="5">
        <f>IF(AX281&lt;0.149*M281+0.329,1,AX281/(0.149*M281+0.329))</f>
        <v>1</v>
      </c>
      <c r="AZ281" s="5">
        <f>IF(AW281*AY281&gt;AL281,(AW281*AY281-AL281)/4,0)</f>
        <v>3.25</v>
      </c>
      <c r="BA281" s="12">
        <f>0.401+0.1831*(2*AR281^2/(AH281+AP281+AZ281))-0.02016*(2*AR281^2/(AH281+AP281+AZ281))^2+0.0007472*(2*AR281^2/(AH281+AP281+AZ281))^3</f>
        <v>0.9091824846253432</v>
      </c>
      <c r="BB281" s="3"/>
      <c r="BC281" s="3"/>
      <c r="BD281" s="3"/>
      <c r="BE281" s="3"/>
      <c r="BF281" s="33">
        <v>50</v>
      </c>
      <c r="BG281" s="5">
        <f>IF(BF281=0,(BC281+BD281)*(BB281/12+BE281/3),BF281)</f>
        <v>50</v>
      </c>
      <c r="BH281" s="5">
        <f>IF(BG281*AY281&gt;AL281+AZ281,BG281*AY281-AL281-AZ281,0)</f>
        <v>29.75</v>
      </c>
      <c r="BI281" s="5">
        <f>IF(M281/1.6&lt;8,ROUND(M281/1.6,0),8)</f>
        <v>5</v>
      </c>
      <c r="BJ281" s="5">
        <f>(AH281+AP281+AZ281)*BA281+0.1*BH281</f>
        <v>54.42472762246355</v>
      </c>
      <c r="BK281" s="11">
        <v>1.3</v>
      </c>
      <c r="BL281" s="5">
        <f>M281*0.2</f>
        <v>1.498</v>
      </c>
      <c r="BM281" s="5">
        <f>ROUNDDOWN(M281/2.13,0)</f>
        <v>3</v>
      </c>
      <c r="BN281" s="12">
        <f>M281/4.26</f>
        <v>1.758215962441315</v>
      </c>
      <c r="BO281" s="5">
        <f>IF(M281&lt;8,1.22,IF(M281&lt;15.2,0.108333*M281+0.353,2))</f>
        <v>1.22</v>
      </c>
      <c r="BP281" s="12">
        <f>IF(BK281&lt;BO281,1+0.3*(BO281-BK281)/M281,1)</f>
        <v>1</v>
      </c>
      <c r="BQ281" s="39">
        <v>4</v>
      </c>
      <c r="BR281" s="39">
        <v>1</v>
      </c>
      <c r="BS281" t="s" s="24">
        <v>154</v>
      </c>
      <c r="BT281" s="36"/>
      <c r="BU281" s="36"/>
      <c r="BV281" s="5">
        <f>IF(BQ281&lt;(M281/0.3048)^0.5,1,IF(BU281="x",1-BR281*0.02,IF(BT281="x",1-BR281*0.01,1)))</f>
        <v>1</v>
      </c>
      <c r="BW281" s="12">
        <f>IF(K281="x",MIN(1.315,1.28+U281*N281/BJ281/AR281/1100),IF(L281="x",1.28,MAX(1.245,1.28-U281*N281/BJ281/AR281/1100)))</f>
        <v>1.286013309419626</v>
      </c>
      <c r="BX281" s="41">
        <f>BW281*T281*BV281*BP281*N281^0.3*BJ281^0.4/V281^0.325</f>
        <v>1.369291049015938</v>
      </c>
      <c r="BY281" s="29"/>
      <c r="BZ281" s="29"/>
      <c r="CA281" t="s" s="19">
        <v>188</v>
      </c>
      <c r="CB281" t="s" s="19">
        <v>1663</v>
      </c>
      <c r="CC281" t="s" s="19">
        <v>633</v>
      </c>
      <c r="CD281" s="3"/>
      <c r="CE281" s="3"/>
      <c r="CF281" s="3"/>
      <c r="CG281" t="s" s="30">
        <f>A281</f>
        <v>1730</v>
      </c>
    </row>
    <row r="282" ht="12.75" customHeight="1">
      <c r="A282" t="s" s="25">
        <v>1731</v>
      </c>
      <c r="B282" t="s" s="19">
        <v>178</v>
      </c>
      <c r="C282" t="s" s="19">
        <v>344</v>
      </c>
      <c r="D282" t="s" s="19">
        <v>345</v>
      </c>
      <c r="E282" s="3"/>
      <c r="F282" s="3"/>
      <c r="G282" s="3"/>
      <c r="H282" s="32"/>
      <c r="I282" s="32"/>
      <c r="J282" s="36"/>
      <c r="K282" t="s" s="24">
        <v>154</v>
      </c>
      <c r="L282" s="36"/>
      <c r="M282" s="11">
        <v>7.34</v>
      </c>
      <c r="N282" s="5">
        <v>7.34</v>
      </c>
      <c r="O282" s="11">
        <v>5.5</v>
      </c>
      <c r="P282" s="11"/>
      <c r="Q282" s="37"/>
      <c r="R282" t="s" s="24">
        <v>534</v>
      </c>
      <c r="S282" s="36"/>
      <c r="T282" s="38">
        <f>IF(S282&gt;0,1.048,IF(R282&gt;0,1.048,IF(Q282&gt;0,1.036,0.907+1.55*(P282/N282)-4.449*(P282/N282)^2)))</f>
        <v>1.048</v>
      </c>
      <c r="U282" s="39">
        <v>1066</v>
      </c>
      <c r="V282" s="40">
        <f>IF(H282="x",75+U282,IF(M282&lt;6.66,150+U282,-1.7384*M282^2+92.38*M282-388+U282))</f>
        <v>1262.41185696</v>
      </c>
      <c r="W282" s="5"/>
      <c r="X282" s="5"/>
      <c r="Y282" s="5"/>
      <c r="Z282" s="5"/>
      <c r="AA282" s="5"/>
      <c r="AB282" s="5"/>
      <c r="AC282" s="5"/>
      <c r="AD282" s="33">
        <v>21.28</v>
      </c>
      <c r="AE282" s="5">
        <f>IF(AD282=0,(W282+4*X282+2*Y282+4*Z282+AA282)*AC282/12+W282*AB282/1.5,AD282)</f>
        <v>21.28</v>
      </c>
      <c r="AF282" s="11"/>
      <c r="AG282" s="11"/>
      <c r="AH282" s="5">
        <f>IF(AC282=0,AE282+AF282*AG282/2,AE282+AC282*AG282/2)</f>
        <v>21.28</v>
      </c>
      <c r="AI282" s="3"/>
      <c r="AJ282" s="3"/>
      <c r="AK282" s="33">
        <v>13.98</v>
      </c>
      <c r="AL282" s="5">
        <f>IF(AK282=0,AI282*AJ282/2,AK282)</f>
        <v>13.98</v>
      </c>
      <c r="AM282" s="3"/>
      <c r="AN282" s="5"/>
      <c r="AO282" s="5"/>
      <c r="AP282" s="5">
        <f>AL282+AI282*(AN282-AO282)/2</f>
        <v>13.98</v>
      </c>
      <c r="AQ282" s="5">
        <f>0.1*(AE282+AL282)</f>
        <v>3.526000000000001</v>
      </c>
      <c r="AR282" s="11">
        <v>10.1</v>
      </c>
      <c r="AS282" s="11"/>
      <c r="AT282" s="11"/>
      <c r="AU282" s="11"/>
      <c r="AV282" s="33"/>
      <c r="AW282" s="5">
        <f>IF(AV282=0,AS282/6*(AT282+AU282*4),AV282)</f>
        <v>0</v>
      </c>
      <c r="AX282" s="11"/>
      <c r="AY282" s="5">
        <f>IF(AX282&lt;0.149*M282+0.329,1,AX282/(0.149*M282+0.329))</f>
        <v>1</v>
      </c>
      <c r="AZ282" s="5">
        <f>IF(AW282*AY282&gt;AL282,(AW282*AY282-AL282)/4,0)</f>
        <v>0</v>
      </c>
      <c r="BA282" s="12">
        <f>0.401+0.1831*(2*AR282^2/(AH282+AP282+AZ282))-0.02016*(2*AR282^2/(AH282+AP282+AZ282))^2+0.0007472*(2*AR282^2/(AH282+AP282+AZ282))^3</f>
        <v>0.9302427363620782</v>
      </c>
      <c r="BB282" s="3"/>
      <c r="BC282" s="3"/>
      <c r="BD282" s="3"/>
      <c r="BE282" s="3"/>
      <c r="BF282" s="33">
        <v>39.49</v>
      </c>
      <c r="BG282" s="5">
        <f>IF(BF282=0,(BC282+BD282)*(BB282/12+BE282/3),BF282)</f>
        <v>39.49</v>
      </c>
      <c r="BH282" s="5">
        <f>IF(BG282*AY282&gt;AL282+AZ282,BG282*AY282-AL282-AZ282,0)</f>
        <v>25.51</v>
      </c>
      <c r="BI282" s="5">
        <f>IF(M282/1.6&lt;8,ROUND(M282/1.6,0),8)</f>
        <v>5</v>
      </c>
      <c r="BJ282" s="5">
        <f>(AH282+AP282+AZ282)*BA282+0.1*BH282</f>
        <v>35.35135888412688</v>
      </c>
      <c r="BK282" s="11">
        <v>1.4</v>
      </c>
      <c r="BL282" s="5">
        <f>M282*0.2</f>
        <v>1.468</v>
      </c>
      <c r="BM282" s="5">
        <f>ROUNDDOWN(M282/2.13,0)</f>
        <v>3</v>
      </c>
      <c r="BN282" s="12">
        <f>M282/4.26</f>
        <v>1.723004694835681</v>
      </c>
      <c r="BO282" s="5">
        <f>IF(M282&lt;8,1.22,IF(M282&lt;15.2,0.108333*M282+0.353,2))</f>
        <v>1.22</v>
      </c>
      <c r="BP282" s="12">
        <f>IF(BK282&lt;BO282,1+0.3*(BO282-BK282)/M282,1)</f>
        <v>1</v>
      </c>
      <c r="BQ282" s="32"/>
      <c r="BR282" s="39">
        <v>0</v>
      </c>
      <c r="BS282" t="s" s="24">
        <v>154</v>
      </c>
      <c r="BT282" s="36"/>
      <c r="BU282" s="36"/>
      <c r="BV282" s="5">
        <f>IF(BQ282&lt;(M282/0.3048)^0.5,1,IF(BU282="x",1-BR282*0.02,IF(BT282="x",1-BR282*0.01,1)))</f>
        <v>1</v>
      </c>
      <c r="BW282" s="12">
        <f>IF(K282="x",MIN(1.315,1.28+U282*N282/BJ282/AR282/1100),IF(L282="x",1.28,MAX(1.245,1.28-U282*N282/BJ282/AR282/1100)))</f>
        <v>1.299922007222159</v>
      </c>
      <c r="BX282" s="41">
        <f>BW282*T282*BV282*BP282*N282^0.3*BJ282^0.4/V282^0.325</f>
        <v>1.012650300174444</v>
      </c>
      <c r="BY282" s="29"/>
      <c r="BZ282" s="29"/>
      <c r="CA282" t="s" s="19">
        <v>162</v>
      </c>
      <c r="CB282" s="42">
        <v>1997</v>
      </c>
      <c r="CC282" t="s" s="19">
        <v>254</v>
      </c>
      <c r="CD282" t="s" s="19">
        <v>415</v>
      </c>
      <c r="CE282" s="3"/>
      <c r="CF282" s="3"/>
      <c r="CG282" t="s" s="30">
        <f>A282</f>
        <v>1732</v>
      </c>
    </row>
    <row r="283" ht="12.75" customHeight="1">
      <c r="A283" t="s" s="25">
        <v>1733</v>
      </c>
      <c r="B283" t="s" s="19">
        <v>574</v>
      </c>
      <c r="C283" s="3"/>
      <c r="D283" s="3"/>
      <c r="E283" t="s" s="19">
        <v>1734</v>
      </c>
      <c r="F283" s="3"/>
      <c r="G283" s="3"/>
      <c r="H283" s="32"/>
      <c r="I283" s="32"/>
      <c r="J283" s="36"/>
      <c r="K283" t="s" s="24">
        <v>154</v>
      </c>
      <c r="L283" s="36"/>
      <c r="M283" s="11">
        <v>10.5</v>
      </c>
      <c r="N283" s="5">
        <v>10.5</v>
      </c>
      <c r="O283" s="11"/>
      <c r="P283" s="11">
        <v>1</v>
      </c>
      <c r="Q283" s="37"/>
      <c r="R283" s="36"/>
      <c r="S283" s="36"/>
      <c r="T283" s="38">
        <f>IF(S283&gt;0,1.048,IF(R283&gt;0,1.048,IF(Q283&gt;0,1.036,0.907+1.55*(P283/N283)-4.449*(P283/N283)^2)))</f>
        <v>1.014265306122449</v>
      </c>
      <c r="U283" s="39">
        <v>2200</v>
      </c>
      <c r="V283" s="40">
        <f>IF(H283="x",75+U283,IF(M283&lt;6.66,150+U283,-1.7384*M283^2+92.38*M283-388+U283))</f>
        <v>2590.3314</v>
      </c>
      <c r="W283" s="5"/>
      <c r="X283" s="5"/>
      <c r="Y283" s="5"/>
      <c r="Z283" s="5"/>
      <c r="AA283" s="5"/>
      <c r="AB283" s="5"/>
      <c r="AC283" s="5"/>
      <c r="AD283" s="33">
        <v>40</v>
      </c>
      <c r="AE283" s="5">
        <f>IF(AD283=0,(W283+4*X283+2*Y283+4*Z283+AA283)*AC283/12+W283*AB283/1.5,AD283)</f>
        <v>40</v>
      </c>
      <c r="AF283" s="11"/>
      <c r="AG283" s="11"/>
      <c r="AH283" s="5">
        <f>IF(AC283=0,AE283+AF283*AG283/2,AE283+AC283*AG283/2)</f>
        <v>40</v>
      </c>
      <c r="AI283" s="3"/>
      <c r="AJ283" s="3"/>
      <c r="AK283" s="33">
        <v>20</v>
      </c>
      <c r="AL283" s="5">
        <f>IF(AK283=0,AI283*AJ283/2,AK283)</f>
        <v>20</v>
      </c>
      <c r="AM283" s="3"/>
      <c r="AN283" s="5"/>
      <c r="AO283" s="5"/>
      <c r="AP283" s="5">
        <f>AL283+AI283*(AN283-AO283)/2</f>
        <v>20</v>
      </c>
      <c r="AQ283" s="5">
        <f>0.1*(AE283+AL283)</f>
        <v>6</v>
      </c>
      <c r="AR283" s="11">
        <v>14.2</v>
      </c>
      <c r="AS283" s="11"/>
      <c r="AT283" s="11"/>
      <c r="AU283" s="11"/>
      <c r="AV283" s="33"/>
      <c r="AW283" s="5">
        <f>IF(AV283=0,AS283/6*(AT283+AU283*4),AV283)</f>
        <v>0</v>
      </c>
      <c r="AX283" s="11">
        <v>1.6</v>
      </c>
      <c r="AY283" s="5">
        <f>IF(AX283&lt;0.149*M283+0.329,1,AX283/(0.149*M283+0.329))</f>
        <v>1</v>
      </c>
      <c r="AZ283" s="5">
        <f>IF(AW283*AY283&gt;AL283,(AW283*AY283-AL283)/4,0)</f>
        <v>0</v>
      </c>
      <c r="BA283" s="12">
        <f>0.401+0.1831*(2*AR283^2/(AH283+AP283+AZ283))-0.02016*(2*AR283^2/(AH283+AP283+AZ283))^2+0.0007472*(2*AR283^2/(AH283+AP283+AZ283))^3</f>
        <v>0.9478051180462725</v>
      </c>
      <c r="BB283" s="3"/>
      <c r="BC283" s="3"/>
      <c r="BD283" s="3"/>
      <c r="BE283" s="3"/>
      <c r="BF283" s="33">
        <v>22</v>
      </c>
      <c r="BG283" s="5">
        <f>IF(BF283=0,(BC283+BD283)*(BB283/12+BE283/3),BF283)</f>
        <v>22</v>
      </c>
      <c r="BH283" s="5">
        <f>IF(BG283*AY283&gt;AL283+AZ283,BG283*AY283-AL283-AZ283,0)</f>
        <v>2</v>
      </c>
      <c r="BI283" s="5">
        <f>IF(M283/1.6&lt;8,ROUND(M283/1.6,0),8)</f>
        <v>7</v>
      </c>
      <c r="BJ283" s="5">
        <f>(AH283+AP283+AZ283)*BA283+0.1*BH283</f>
        <v>57.06830708277636</v>
      </c>
      <c r="BK283" s="11">
        <v>1.5</v>
      </c>
      <c r="BL283" s="5">
        <f>M283*0.2</f>
        <v>2.1</v>
      </c>
      <c r="BM283" s="5">
        <f>ROUNDDOWN(M283/2.13,0)</f>
        <v>4</v>
      </c>
      <c r="BN283" s="12">
        <f>M283/4.26</f>
        <v>2.464788732394366</v>
      </c>
      <c r="BO283" s="5">
        <f>IF(M283&lt;8,1.22,IF(M283&lt;15.2,0.108333*M283+0.353,2))</f>
        <v>1.4904965</v>
      </c>
      <c r="BP283" s="12">
        <f>IF(BK283&lt;BO283,1+0.3*(BO283-BK283)/M283,1)</f>
        <v>1</v>
      </c>
      <c r="BQ283" s="32"/>
      <c r="BR283" s="39">
        <v>0</v>
      </c>
      <c r="BS283" t="s" s="24">
        <v>154</v>
      </c>
      <c r="BT283" s="36"/>
      <c r="BU283" s="36"/>
      <c r="BV283" s="5">
        <f>IF(BQ283&lt;(M283/0.3048)^0.5,1,IF(BU283="x",1-BR283*0.02,IF(BT283="x",1-BR283*0.01,1)))</f>
        <v>1</v>
      </c>
      <c r="BW283" s="12">
        <f>IF(K283="x",MIN(1.315,1.28+U283*N283/BJ283/AR283/1100),IF(L283="x",1.28,MAX(1.245,1.28-U283*N283/BJ283/AR283/1100)))</f>
        <v>1.305914089886906</v>
      </c>
      <c r="BX283" s="41">
        <f>BW283*T283*BV283*BP283*N283^0.3*BJ283^0.4/V283^0.325</f>
        <v>1.051091396253398</v>
      </c>
      <c r="BY283" s="29"/>
      <c r="BZ283" s="29"/>
      <c r="CA283" t="s" s="19">
        <v>162</v>
      </c>
      <c r="CB283" t="s" s="19">
        <v>1583</v>
      </c>
      <c r="CC283" t="s" s="19">
        <v>180</v>
      </c>
      <c r="CD283" t="s" s="19">
        <v>1735</v>
      </c>
      <c r="CE283" s="3"/>
      <c r="CF283" s="3"/>
      <c r="CG283" t="s" s="30">
        <f>A283</f>
        <v>1736</v>
      </c>
    </row>
    <row r="284" ht="12.75" customHeight="1">
      <c r="A284" t="s" s="25">
        <v>1737</v>
      </c>
      <c r="B284" t="s" s="19">
        <v>1592</v>
      </c>
      <c r="C284" t="s" s="19">
        <v>1593</v>
      </c>
      <c r="D284" t="s" s="19">
        <v>1594</v>
      </c>
      <c r="E284" t="s" s="19">
        <v>1738</v>
      </c>
      <c r="F284" s="3"/>
      <c r="G284" s="42">
        <v>128</v>
      </c>
      <c r="H284" s="32"/>
      <c r="I284" s="32"/>
      <c r="J284" s="36"/>
      <c r="K284" t="s" s="24">
        <v>154</v>
      </c>
      <c r="L284" s="36"/>
      <c r="M284" s="11">
        <v>8</v>
      </c>
      <c r="N284" s="5">
        <v>8</v>
      </c>
      <c r="O284" s="11">
        <v>4.57</v>
      </c>
      <c r="P284" s="11"/>
      <c r="Q284" t="s" s="24">
        <v>1596</v>
      </c>
      <c r="R284" s="36"/>
      <c r="S284" s="36"/>
      <c r="T284" s="38">
        <f>IF(S284&gt;0,1.048,IF(R284&gt;0,1.048,IF(Q284&gt;0,1.036,0.907+1.55*(P284/N284)-4.449*(P284/N284)^2)))</f>
        <v>1.036</v>
      </c>
      <c r="U284" s="39">
        <v>2216</v>
      </c>
      <c r="V284" s="40">
        <f>IF(H284="x",75+U284,IF(M284&lt;6.66,150+U284,-1.7384*M284^2+92.38*M284-388+U284))</f>
        <v>2455.7824</v>
      </c>
      <c r="W284" s="5">
        <v>2.71</v>
      </c>
      <c r="X284" s="5">
        <v>2.34</v>
      </c>
      <c r="Y284" s="5">
        <v>1.69</v>
      </c>
      <c r="Z284" s="5">
        <v>0.9399999999999999</v>
      </c>
      <c r="AA284" s="5">
        <v>0.13</v>
      </c>
      <c r="AB284" s="5"/>
      <c r="AC284" s="5">
        <v>8.279999999999999</v>
      </c>
      <c r="AD284" s="33"/>
      <c r="AE284" s="5">
        <f>IF(AD284=0,(W284+4*X284+2*Y284+4*Z284+AA284)*AC284/12+W284*AB284/1.5,AD284)</f>
        <v>13.3446</v>
      </c>
      <c r="AF284" s="11"/>
      <c r="AG284" s="11"/>
      <c r="AH284" s="5">
        <f>IF(AC284=0,AE284+AF284*AG284/2,AE284+AC284*AG284/2)</f>
        <v>13.3446</v>
      </c>
      <c r="AI284" s="5">
        <v>8.81</v>
      </c>
      <c r="AJ284" s="5">
        <v>4.26</v>
      </c>
      <c r="AK284" s="33"/>
      <c r="AL284" s="5">
        <f>IF(AK284=0,AI284*AJ284/2,AK284)</f>
        <v>18.7653</v>
      </c>
      <c r="AM284" s="3"/>
      <c r="AN284" s="5">
        <v>0.08400000000000001</v>
      </c>
      <c r="AO284" s="5"/>
      <c r="AP284" s="5">
        <f>AL284+AI284*(AN284-AO284)/2</f>
        <v>19.13532</v>
      </c>
      <c r="AQ284" s="5">
        <f>0.1*(AE284+AL284)</f>
        <v>3.21099</v>
      </c>
      <c r="AR284" s="11">
        <v>9.75</v>
      </c>
      <c r="AS284" s="11"/>
      <c r="AT284" s="11"/>
      <c r="AU284" s="11"/>
      <c r="AV284" s="33"/>
      <c r="AW284" s="5">
        <f>IF(AV284=0,AS284/6*(AT284+AU284*4),AV284)</f>
        <v>0</v>
      </c>
      <c r="AX284" s="11"/>
      <c r="AY284" s="5">
        <f>IF(AX284&lt;0.149*M284+0.329,1,AX284/(0.149*M284+0.329))</f>
        <v>1</v>
      </c>
      <c r="AZ284" s="5">
        <f>IF(AW284*AY284&gt;AL284,(AW284*AY284-AL284)/4,0)</f>
        <v>0</v>
      </c>
      <c r="BA284" s="12">
        <f>0.401+0.1831*(2*AR284^2/(AH284+AP284+AZ284))-0.02016*(2*AR284^2/(AH284+AP284+AZ284))^2+0.0007472*(2*AR284^2/(AH284+AP284+AZ284))^3</f>
        <v>0.9318865484763043</v>
      </c>
      <c r="BB284" s="3"/>
      <c r="BC284" s="3"/>
      <c r="BD284" s="3"/>
      <c r="BE284" s="3"/>
      <c r="BF284" s="33"/>
      <c r="BG284" s="5">
        <f>IF(BF284=0,(BC284+BD284)*(BB284/12+BE284/3),BF284)</f>
        <v>0</v>
      </c>
      <c r="BH284" s="5">
        <f>IF(BG284*AY284&gt;AL284+AZ284,BG284*AY284-AL284-AZ284,0)</f>
        <v>0</v>
      </c>
      <c r="BI284" s="5">
        <f>IF(M284/1.6&lt;8,ROUND(M284/1.6,0),8)</f>
        <v>5</v>
      </c>
      <c r="BJ284" s="5">
        <f>(AH284+AP284+AZ284)*BA284+0.1*BH284</f>
        <v>30.26760054358648</v>
      </c>
      <c r="BK284" s="11">
        <v>1.7</v>
      </c>
      <c r="BL284" s="5">
        <f>M284*0.2</f>
        <v>1.6</v>
      </c>
      <c r="BM284" s="5">
        <f>ROUNDDOWN(M284/2.13,0)</f>
        <v>3</v>
      </c>
      <c r="BN284" s="12">
        <f>M284/4.26</f>
        <v>1.877934272300469</v>
      </c>
      <c r="BO284" s="5">
        <f>IF(M284&lt;8,1.22,IF(M284&lt;15.2,0.108333*M284+0.353,2))</f>
        <v>1.219664</v>
      </c>
      <c r="BP284" s="12">
        <f>IF(BK284&lt;BO284,1+0.3*(BO284-BK284)/M284,1)</f>
        <v>1</v>
      </c>
      <c r="BQ284" s="32"/>
      <c r="BR284" s="32"/>
      <c r="BS284" t="s" s="24">
        <v>154</v>
      </c>
      <c r="BT284" s="36"/>
      <c r="BU284" s="36"/>
      <c r="BV284" s="5">
        <f>IF(BQ284&lt;(M284/0.3048)^0.5,1,IF(BU284="x",1-BR284*0.02,IF(BT284="x",1-BR284*0.01,1)))</f>
        <v>1</v>
      </c>
      <c r="BW284" s="12">
        <f>IF(K284="x",MIN(1.315,1.28+U284*N284/BJ284/AR284/1100),IF(L284="x",1.28,MAX(1.245,1.28-U284*N284/BJ284/AR284/1100)))</f>
        <v>1.315</v>
      </c>
      <c r="BX284" s="41">
        <f>BW284*T284*BV284*BP284*N284^0.3*BJ284^0.4/V284^0.325</f>
        <v>0.7866689159266474</v>
      </c>
      <c r="BY284" s="29"/>
      <c r="BZ284" s="29"/>
      <c r="CA284" t="s" s="19">
        <v>162</v>
      </c>
      <c r="CB284" s="42">
        <v>1997</v>
      </c>
      <c r="CC284" t="s" s="19">
        <v>254</v>
      </c>
      <c r="CD284" t="s" s="19">
        <v>1739</v>
      </c>
      <c r="CE284" s="3"/>
      <c r="CF284" s="3"/>
      <c r="CG284" t="s" s="30">
        <f>A284</f>
        <v>1740</v>
      </c>
    </row>
    <row r="285" ht="12.75" customHeight="1">
      <c r="A285" t="s" s="25">
        <v>1741</v>
      </c>
      <c r="B285" t="s" s="19">
        <v>1742</v>
      </c>
      <c r="C285" t="s" s="19">
        <v>796</v>
      </c>
      <c r="D285" t="s" s="19">
        <v>796</v>
      </c>
      <c r="E285" t="s" s="19">
        <v>1743</v>
      </c>
      <c r="F285" s="4"/>
      <c r="G285" t="s" s="31">
        <v>1744</v>
      </c>
      <c r="H285" s="32"/>
      <c r="I285" s="32"/>
      <c r="J285" s="36"/>
      <c r="K285" t="s" s="24">
        <v>154</v>
      </c>
      <c r="L285" s="36"/>
      <c r="M285" s="11">
        <v>11.56</v>
      </c>
      <c r="N285" s="15">
        <v>11.145</v>
      </c>
      <c r="O285" s="11">
        <v>7.71</v>
      </c>
      <c r="P285" s="11"/>
      <c r="Q285" s="37"/>
      <c r="R285" t="s" s="24">
        <v>154</v>
      </c>
      <c r="S285" s="36"/>
      <c r="T285" s="38">
        <f>IF(S285&gt;0,1.048,IF(R285&gt;0,1.048,IF(Q285&gt;0,1.036,0.907+1.55*(P285/N285)-4.449*(P285/N285)^2)))</f>
        <v>1.048</v>
      </c>
      <c r="U285" s="39">
        <v>1918</v>
      </c>
      <c r="V285" s="45">
        <f>IF(H285="x",75+U285,IF(M285&lt;6.66,150+U285,-1.7384*M285^2+92.38*M285-388+U285))</f>
        <v>2365.60414976</v>
      </c>
      <c r="W285" s="9">
        <v>4.4</v>
      </c>
      <c r="X285" s="9">
        <v>4.22</v>
      </c>
      <c r="Y285" s="9">
        <v>3.81</v>
      </c>
      <c r="Z285" s="9">
        <v>2.8</v>
      </c>
      <c r="AA285" s="9">
        <v>0.125</v>
      </c>
      <c r="AB285" s="9">
        <v>0.19</v>
      </c>
      <c r="AC285" s="9">
        <v>13.5</v>
      </c>
      <c r="AD285" s="33"/>
      <c r="AE285" s="5">
        <f>IF(AD285=0,(W285+4*X285+2*Y285+4*Z285+AA285)*AC285/12+W285*AB285/1.5,AD285)</f>
        <v>45.81045833333334</v>
      </c>
      <c r="AF285" s="11"/>
      <c r="AG285" s="11">
        <v>0.492</v>
      </c>
      <c r="AH285" s="5">
        <f>IF(AC285=0,AE285+AF285*AG285/2,AE285+AC285*AG285/2)</f>
        <v>49.13145833333333</v>
      </c>
      <c r="AI285" s="9">
        <v>12.1</v>
      </c>
      <c r="AJ285" s="9">
        <v>2.65</v>
      </c>
      <c r="AK285" s="33"/>
      <c r="AL285" s="5">
        <f>IF(AK285=0,AI285*AJ285/2,AK285)</f>
        <v>16.0325</v>
      </c>
      <c r="AM285" t="s" s="20">
        <v>154</v>
      </c>
      <c r="AN285" s="11"/>
      <c r="AO285" s="11"/>
      <c r="AP285" s="5">
        <f>AL285+AI285*(AN285-AO285)/2</f>
        <v>16.0325</v>
      </c>
      <c r="AQ285" s="5">
        <f>0.1*(AE285+AL285)</f>
        <v>6.184295833333334</v>
      </c>
      <c r="AR285" s="11">
        <v>14.76</v>
      </c>
      <c r="AS285" s="11"/>
      <c r="AT285" s="11"/>
      <c r="AU285" s="11"/>
      <c r="AV285" s="33"/>
      <c r="AW285" s="5">
        <f>IF(AV285=0,AS285/6*(AT285+AU285*4),AV285)</f>
        <v>0</v>
      </c>
      <c r="AX285" s="11">
        <v>1.35</v>
      </c>
      <c r="AY285" s="5">
        <f>IF(AX285&lt;0.149*M285+0.329,1,AX285/(0.149*M285+0.329))</f>
        <v>1</v>
      </c>
      <c r="AZ285" s="5">
        <f>IF(AW285*AY285&gt;AL285,(AW285*AY285-AL285)/4,0)</f>
        <v>0</v>
      </c>
      <c r="BA285" s="12">
        <f>0.401+0.1831*(2*AR285^2/(AH285+AP285+AZ285))-0.02016*(2*AR285^2/(AH285+AP285+AZ285))^2+0.0007472*(2*AR285^2/(AH285+AP285+AZ285))^3</f>
        <v>0.9473326659654902</v>
      </c>
      <c r="BB285" s="9">
        <v>7.03</v>
      </c>
      <c r="BC285" s="9">
        <v>14.01</v>
      </c>
      <c r="BD285" s="9">
        <v>11.67</v>
      </c>
      <c r="BE285" s="9">
        <v>6.51</v>
      </c>
      <c r="BF285" s="33"/>
      <c r="BG285" s="5">
        <f>IF(BF285=0,(BC285+BD285)*(BB285/12+BE285/3),BF285)</f>
        <v>70.7698</v>
      </c>
      <c r="BH285" s="5">
        <f>IF(BG285*AY285&gt;AL285+AZ285,BG285*AY285-AL285-AZ285,0)</f>
        <v>54.7373</v>
      </c>
      <c r="BI285" s="5">
        <f>IF(M285/1.6&lt;8,ROUND(M285/1.6,0),8)</f>
        <v>7</v>
      </c>
      <c r="BJ285" s="15">
        <f>(AH285+AP285+AZ285)*BA285+0.1*BH285</f>
        <v>67.20567637278079</v>
      </c>
      <c r="BK285" s="11">
        <v>1.475</v>
      </c>
      <c r="BL285" s="5">
        <f>M285*0.2</f>
        <v>2.312</v>
      </c>
      <c r="BM285" s="5">
        <f>ROUNDDOWN(M285/2.13,0)</f>
        <v>5</v>
      </c>
      <c r="BN285" s="12">
        <f>M285/4.26</f>
        <v>2.713615023474178</v>
      </c>
      <c r="BO285" s="5">
        <f>IF(M285&lt;8,1.22,IF(M285&lt;15.2,0.108333*M285+0.353,2))</f>
        <v>1.60532948</v>
      </c>
      <c r="BP285" s="7">
        <f>IF(BK285&lt;BO285,1+0.3*(BO285-BK285)/M285,1)</f>
        <v>1.003382252941176</v>
      </c>
      <c r="BQ285" s="32"/>
      <c r="BR285" s="32"/>
      <c r="BS285" t="s" s="24">
        <v>154</v>
      </c>
      <c r="BT285" s="36"/>
      <c r="BU285" s="36"/>
      <c r="BV285" s="15">
        <f>IF(BQ285&lt;(M285/0.3048)^0.5,1,IF(BU285="x",1-BR285*0.02,IF(BT285="x",1-BR285*0.01,1)))</f>
        <v>1</v>
      </c>
      <c r="BW285" s="7">
        <f>IF(K285="x",MIN(1.315,1.28+U285*N285/BJ285/AR285/1100),IF(L285="x",1.28,MAX(1.245,1.28-U285*N285/BJ285/AR285/1100)))</f>
        <v>1.299590416831705</v>
      </c>
      <c r="BX285" s="41">
        <f>BW285*T285*BV285*BP285*N285^0.3*BJ285^0.4/V285^0.325</f>
        <v>1.213918216515868</v>
      </c>
      <c r="BY285" s="3"/>
      <c r="BZ285" s="3"/>
      <c r="CA285" t="s" s="31">
        <v>253</v>
      </c>
      <c r="CB285" s="87">
        <v>36681</v>
      </c>
      <c r="CC285" t="s" s="19">
        <v>254</v>
      </c>
      <c r="CD285" s="3"/>
      <c r="CE285" s="3"/>
      <c r="CF285" s="3"/>
      <c r="CG285" t="s" s="30">
        <f>A285</f>
        <v>1745</v>
      </c>
    </row>
    <row r="286" ht="12.75" customHeight="1">
      <c r="A286" t="s" s="25">
        <v>1746</v>
      </c>
      <c r="B286" t="s" s="19">
        <v>1747</v>
      </c>
      <c r="C286" t="s" s="19">
        <v>1748</v>
      </c>
      <c r="D286" t="s" s="19">
        <v>1749</v>
      </c>
      <c r="E286" t="s" s="19">
        <v>1750</v>
      </c>
      <c r="F286" t="s" s="19">
        <v>1751</v>
      </c>
      <c r="G286" t="s" s="19">
        <v>1752</v>
      </c>
      <c r="H286" s="32"/>
      <c r="I286" s="32"/>
      <c r="J286" s="36"/>
      <c r="K286" t="s" s="24">
        <v>154</v>
      </c>
      <c r="L286" s="36"/>
      <c r="M286" s="11">
        <v>8.699999999999999</v>
      </c>
      <c r="N286" s="5">
        <v>8.65</v>
      </c>
      <c r="O286" s="11">
        <v>6.7</v>
      </c>
      <c r="P286" s="11"/>
      <c r="Q286" s="37"/>
      <c r="R286" s="43">
        <v>1.5</v>
      </c>
      <c r="S286" s="36"/>
      <c r="T286" s="38">
        <f>IF(S286&gt;0,1.048,IF(R286&gt;0,1.048,IF(Q286&gt;0,1.036,0.907+1.55*(P286/N286)-4.449*(P286/N286)^2)))</f>
        <v>1.048</v>
      </c>
      <c r="U286" s="39">
        <v>1300</v>
      </c>
      <c r="V286" s="40">
        <f>IF(H286="x",75+U286,IF(M286&lt;6.66,150+U286,-1.7384*M286^2+92.38*M286-388+U286))</f>
        <v>1584.126504</v>
      </c>
      <c r="W286" s="5"/>
      <c r="X286" s="5"/>
      <c r="Y286" s="5"/>
      <c r="Z286" s="5"/>
      <c r="AA286" s="5"/>
      <c r="AB286" s="5"/>
      <c r="AC286" s="5">
        <v>10.8</v>
      </c>
      <c r="AD286" s="33">
        <v>29</v>
      </c>
      <c r="AE286" s="5">
        <f>IF(AD286=0,(W286+4*X286+2*Y286+4*Z286+AA286)*AC286/12+W286*AB286/1.5,AD286)</f>
        <v>29</v>
      </c>
      <c r="AF286" s="11">
        <v>11.65</v>
      </c>
      <c r="AG286" s="11">
        <v>0.5</v>
      </c>
      <c r="AH286" s="5">
        <f>IF(AC286=0,AE286+AF286*AG286/2,AE286+AC286*AG286/2)</f>
        <v>31.7</v>
      </c>
      <c r="AI286" s="5">
        <v>8.9</v>
      </c>
      <c r="AJ286" s="3"/>
      <c r="AK286" s="33">
        <v>16</v>
      </c>
      <c r="AL286" s="5">
        <f>IF(AK286=0,AI286*AJ286/2,AK286)</f>
        <v>16</v>
      </c>
      <c r="AM286" s="3"/>
      <c r="AN286" s="5"/>
      <c r="AO286" s="5">
        <v>0.11</v>
      </c>
      <c r="AP286" s="5">
        <f>AL286+AI286*(AN286-AO286)/2</f>
        <v>15.5105</v>
      </c>
      <c r="AQ286" s="5">
        <f>0.1*(AE286+AL286)</f>
        <v>4.5</v>
      </c>
      <c r="AR286" s="11">
        <v>11.65</v>
      </c>
      <c r="AS286" s="11"/>
      <c r="AT286" s="11"/>
      <c r="AU286" s="11"/>
      <c r="AV286" s="33">
        <v>50</v>
      </c>
      <c r="AW286" s="5">
        <f>IF(AV286=0,AS286/6*(AT286+AU286*4),AV286)</f>
        <v>50</v>
      </c>
      <c r="AX286" s="11">
        <v>1.5</v>
      </c>
      <c r="AY286" s="5">
        <f>IF(AX286&lt;0.149*M286+0.329,1,AX286/(0.149*M286+0.329))</f>
        <v>1</v>
      </c>
      <c r="AZ286" s="5">
        <f>IF(AW286*AY286&gt;AL286,(AW286*AY286-AL286)/4,0)</f>
        <v>8.5</v>
      </c>
      <c r="BA286" s="12">
        <f>0.401+0.1831*(2*AR286^2/(AH286+AP286+AZ286))-0.02016*(2*AR286^2/(AH286+AP286+AZ286))^2+0.0007472*(2*AR286^2/(AH286+AP286+AZ286))^3</f>
        <v>0.9009634191739395</v>
      </c>
      <c r="BB286" s="3"/>
      <c r="BC286" s="3"/>
      <c r="BD286" s="3"/>
      <c r="BE286" s="3"/>
      <c r="BF286" s="33"/>
      <c r="BG286" s="5">
        <f>IF(BF286=0,(BC286+BD286)*(BB286/12+BE286/3),BF286)</f>
        <v>0</v>
      </c>
      <c r="BH286" s="5">
        <f>IF(BG286*AY286&gt;AL286+AZ286,BG286*AY286-AL286-AZ286,0)</f>
        <v>0</v>
      </c>
      <c r="BI286" s="5">
        <f>IF(M286/1.6&lt;8,ROUND(M286/1.6,0),8)</f>
        <v>5</v>
      </c>
      <c r="BJ286" s="5">
        <f>(AH286+AP286+AZ286)*BA286+0.1*BH286</f>
        <v>50.19312256388975</v>
      </c>
      <c r="BK286" s="11">
        <v>1.8</v>
      </c>
      <c r="BL286" s="5">
        <f>M286*0.2</f>
        <v>1.74</v>
      </c>
      <c r="BM286" s="5">
        <f>ROUNDDOWN(M286/2.13,0)</f>
        <v>4</v>
      </c>
      <c r="BN286" s="12">
        <f>M286/4.26</f>
        <v>2.042253521126761</v>
      </c>
      <c r="BO286" s="5">
        <f>IF(M286&lt;8,1.22,IF(M286&lt;15.2,0.108333*M286+0.353,2))</f>
        <v>1.2954971</v>
      </c>
      <c r="BP286" s="12">
        <f>IF(BK286&lt;BO286,1+0.3*(BO286-BK286)/M286,1)</f>
        <v>1</v>
      </c>
      <c r="BQ286" s="39">
        <v>8</v>
      </c>
      <c r="BR286" s="39">
        <v>1</v>
      </c>
      <c r="BS286" t="s" s="24">
        <v>154</v>
      </c>
      <c r="BT286" s="36"/>
      <c r="BU286" s="36"/>
      <c r="BV286" s="5">
        <f>IF(BQ286&lt;(M286/0.3048)^0.5,1,IF(BU286="x",1-BR286*0.02,IF(BT286="x",1-BR286*0.01,1)))</f>
        <v>1</v>
      </c>
      <c r="BW286" s="12">
        <f>IF(K286="x",MIN(1.315,1.28+U286*N286/BJ286/AR286/1100),IF(L286="x",1.28,MAX(1.245,1.28-U286*N286/BJ286/AR286/1100)))</f>
        <v>1.297482222159629</v>
      </c>
      <c r="BX286" s="41">
        <f>BW286*T286*BV286*BP286*N286^0.3*BJ286^0.4/V286^0.325</f>
        <v>1.134732547850083</v>
      </c>
      <c r="BY286" s="29"/>
      <c r="BZ286" s="29"/>
      <c r="CA286" s="3"/>
      <c r="CB286" s="3"/>
      <c r="CC286" s="3"/>
      <c r="CD286" s="3"/>
      <c r="CE286" s="3"/>
      <c r="CF286" s="3"/>
      <c r="CG286" t="s" s="30">
        <f>A286</f>
        <v>1753</v>
      </c>
    </row>
    <row r="287" ht="12.75" customHeight="1">
      <c r="A287" t="s" s="25">
        <v>1754</v>
      </c>
      <c r="B287" t="s" s="19">
        <v>1755</v>
      </c>
      <c r="C287" t="s" s="19">
        <v>1756</v>
      </c>
      <c r="D287" t="s" s="19">
        <v>1756</v>
      </c>
      <c r="E287" t="s" s="19">
        <v>1756</v>
      </c>
      <c r="F287" s="3"/>
      <c r="G287" s="42">
        <v>17</v>
      </c>
      <c r="H287" s="32"/>
      <c r="I287" s="32"/>
      <c r="J287" s="36"/>
      <c r="K287" t="s" s="24">
        <v>154</v>
      </c>
      <c r="L287" s="36"/>
      <c r="M287" s="11">
        <v>15.24</v>
      </c>
      <c r="N287" s="5">
        <v>15.24</v>
      </c>
      <c r="O287" s="11"/>
      <c r="P287" s="11"/>
      <c r="Q287" s="37"/>
      <c r="R287" t="s" s="24">
        <v>161</v>
      </c>
      <c r="S287" s="36"/>
      <c r="T287" s="38">
        <f>IF(S287&gt;0,1.048,IF(R287&gt;0,1.048,IF(Q287&gt;0,1.036,0.907+1.55*(P287/N287)-4.449*(P287/N287)^2)))</f>
        <v>1.048</v>
      </c>
      <c r="U287" s="39">
        <v>4600</v>
      </c>
      <c r="V287" s="40">
        <f>IF(H287="x",75+U287,IF(M287&lt;6.66,150+U287,-1.7384*M287^2+92.38*M287-388+U287))</f>
        <v>5216.11458816</v>
      </c>
      <c r="W287" s="5"/>
      <c r="X287" s="5"/>
      <c r="Y287" s="5"/>
      <c r="Z287" s="5"/>
      <c r="AA287" s="5"/>
      <c r="AB287" s="5"/>
      <c r="AC287" s="5">
        <v>17</v>
      </c>
      <c r="AD287" s="33">
        <v>70</v>
      </c>
      <c r="AE287" s="5">
        <f>IF(AD287=0,(W287+4*X287+2*Y287+4*Z287+AA287)*AC287/12+W287*AB287/1.5,AD287)</f>
        <v>70</v>
      </c>
      <c r="AF287" s="11">
        <v>18</v>
      </c>
      <c r="AG287" s="11">
        <v>0.85</v>
      </c>
      <c r="AH287" s="5">
        <f>IF(AC287=0,AE287+AF287*AG287/2,AE287+AC287*AG287/2)</f>
        <v>77.22499999999999</v>
      </c>
      <c r="AI287" s="5">
        <v>16.5</v>
      </c>
      <c r="AJ287" s="3"/>
      <c r="AK287" s="33">
        <v>55</v>
      </c>
      <c r="AL287" s="5">
        <f>IF(AK287=0,AI287*AJ287/2,AK287)</f>
        <v>55</v>
      </c>
      <c r="AM287" s="3"/>
      <c r="AN287" s="5"/>
      <c r="AO287" s="5">
        <v>0.2</v>
      </c>
      <c r="AP287" s="5">
        <f>AL287+AI287*(AN287-AO287)/2</f>
        <v>53.35</v>
      </c>
      <c r="AQ287" s="5">
        <f>0.1*(AE287+AL287)</f>
        <v>12.5</v>
      </c>
      <c r="AR287" s="11">
        <v>18</v>
      </c>
      <c r="AS287" s="11"/>
      <c r="AT287" s="11"/>
      <c r="AU287" s="11"/>
      <c r="AV287" s="33">
        <v>93</v>
      </c>
      <c r="AW287" s="5">
        <f>IF(AV287=0,AS287/6*(AT287+AU287*4),AV287)</f>
        <v>93</v>
      </c>
      <c r="AX287" s="11">
        <v>1.8</v>
      </c>
      <c r="AY287" s="5">
        <f>IF(AX287&lt;0.149*M287+0.329,1,AX287/(0.149*M287+0.329))</f>
        <v>1</v>
      </c>
      <c r="AZ287" s="5">
        <f>IF(AW287*AY287&gt;AL287,(AW287*AY287-AL287)/4,0)</f>
        <v>9.5</v>
      </c>
      <c r="BA287" s="12">
        <f>0.401+0.1831*(2*AR287^2/(AH287+AP287+AZ287))-0.02016*(2*AR287^2/(AH287+AP287+AZ287))^2+0.0007472*(2*AR287^2/(AH287+AP287+AZ287))^3</f>
        <v>0.8905729316627836</v>
      </c>
      <c r="BB287" s="3"/>
      <c r="BC287" s="3"/>
      <c r="BD287" s="3"/>
      <c r="BE287" s="3"/>
      <c r="BF287" s="33">
        <v>0</v>
      </c>
      <c r="BG287" s="5">
        <f>IF(BF287=0,(BC287+BD287)*(BB287/12+BE287/3),BF287)</f>
        <v>0</v>
      </c>
      <c r="BH287" s="5">
        <f>IF(BG287*AY287&gt;AL287+AZ287,BG287*AY287-AL287-AZ287,0)</f>
        <v>0</v>
      </c>
      <c r="BI287" s="42">
        <f>IF(M287/1.6&lt;8,ROUND(M287/1.6,0),8)</f>
        <v>8</v>
      </c>
      <c r="BJ287" s="5">
        <f>(AH287+AP287+AZ287)*BA287+0.1*BH287</f>
        <v>124.7470034026644</v>
      </c>
      <c r="BK287" s="11">
        <v>1.8</v>
      </c>
      <c r="BL287" s="5">
        <f>M287*0.2</f>
        <v>3.048</v>
      </c>
      <c r="BM287" s="5">
        <f>ROUNDDOWN(M287/2.13,0)</f>
        <v>7</v>
      </c>
      <c r="BN287" s="12">
        <f>M287/4.26</f>
        <v>3.577464788732394</v>
      </c>
      <c r="BO287" s="5">
        <f>IF(M287&lt;8,1.22,IF(M287&lt;15.2,0.108333*M287+0.353,2))</f>
        <v>2</v>
      </c>
      <c r="BP287" s="12">
        <f>IF(BK287&lt;BO287,1+0.3*(BO287-BK287)/M287,1)</f>
        <v>1.003937007874016</v>
      </c>
      <c r="BQ287" s="39">
        <v>8</v>
      </c>
      <c r="BR287" s="39">
        <v>1</v>
      </c>
      <c r="BS287" s="36"/>
      <c r="BT287" t="s" s="24">
        <v>154</v>
      </c>
      <c r="BU287" s="36"/>
      <c r="BV287" s="5">
        <f>IF(BQ287&lt;(M287/0.3048)^0.5,1,IF(BU287="x",1-BR287*0.02,IF(BT287="x",1-BR287*0.01,1)))</f>
        <v>0.99</v>
      </c>
      <c r="BW287" s="12">
        <f>IF(K287="x",MIN(1.315,1.28+U287*N287/BJ287/AR287/1100),IF(L287="x",1.28,MAX(1.245,1.28-U287*N287/BJ287/AR287/1100)))</f>
        <v>1.308382293474237</v>
      </c>
      <c r="BX287" s="41">
        <f>BW287*T287*BV287*BP287*N287^0.3*BJ287^0.4/V287^0.325</f>
        <v>1.317065346097893</v>
      </c>
      <c r="BY287" s="29"/>
      <c r="BZ287" s="29"/>
      <c r="CA287" t="s" s="19">
        <v>162</v>
      </c>
      <c r="CB287" t="s" s="19">
        <v>723</v>
      </c>
      <c r="CC287" t="s" s="19">
        <v>164</v>
      </c>
      <c r="CD287" s="3"/>
      <c r="CE287" s="3"/>
      <c r="CF287" s="3"/>
      <c r="CG287" t="s" s="30">
        <f>A287</f>
        <v>1757</v>
      </c>
    </row>
    <row r="288" ht="12.75" customHeight="1">
      <c r="A288" t="s" s="25">
        <v>1758</v>
      </c>
      <c r="B288" t="s" s="19">
        <v>1759</v>
      </c>
      <c r="C288" t="s" s="19">
        <v>882</v>
      </c>
      <c r="D288" t="s" s="19">
        <v>151</v>
      </c>
      <c r="E288" t="s" s="19">
        <v>1760</v>
      </c>
      <c r="F288" t="s" s="19">
        <v>1761</v>
      </c>
      <c r="G288" s="3"/>
      <c r="H288" s="32"/>
      <c r="I288" s="32"/>
      <c r="J288" s="36"/>
      <c r="K288" t="s" s="24">
        <v>154</v>
      </c>
      <c r="L288" s="36"/>
      <c r="M288" s="11">
        <v>6.1</v>
      </c>
      <c r="N288" s="5">
        <v>6.1</v>
      </c>
      <c r="O288" s="11">
        <v>3.88</v>
      </c>
      <c r="P288" s="11"/>
      <c r="Q288" s="37">
        <v>1.1</v>
      </c>
      <c r="R288" s="36"/>
      <c r="S288" s="36"/>
      <c r="T288" s="38">
        <f>IF(S288&gt;0,1.048,IF(R288&gt;0,1.048,IF(Q288&gt;0,1.036,0.907+1.55*(P288/N288)-4.449*(P288/N288)^2)))</f>
        <v>1.036</v>
      </c>
      <c r="U288" s="39">
        <v>450</v>
      </c>
      <c r="V288" s="40">
        <f>IF(H288="x",75+U288,IF(M288&lt;6.66,150+U288,-1.7384*M288^2+92.38*M288-388+U288))</f>
        <v>600</v>
      </c>
      <c r="W288" s="5"/>
      <c r="X288" s="5"/>
      <c r="Y288" s="5"/>
      <c r="Z288" s="5"/>
      <c r="AA288" s="5"/>
      <c r="AB288" s="5"/>
      <c r="AC288" s="5">
        <v>6.95</v>
      </c>
      <c r="AD288" s="33">
        <v>14.2</v>
      </c>
      <c r="AE288" s="5">
        <f>IF(AD288=0,(W288+4*X288+2*Y288+4*Z288+AA288)*AC288/12+W288*AB288/1.5,AD288)</f>
        <v>14.2</v>
      </c>
      <c r="AF288" s="11">
        <v>7.5</v>
      </c>
      <c r="AG288" s="11"/>
      <c r="AH288" s="5">
        <f>IF(AC288=0,AE288+AF288*AG288/2,AE288+AC288*AG288/2)</f>
        <v>14.2</v>
      </c>
      <c r="AI288" s="5">
        <v>6.57</v>
      </c>
      <c r="AJ288" s="3"/>
      <c r="AK288" s="33">
        <v>7.26</v>
      </c>
      <c r="AL288" s="5">
        <f>IF(AK288=0,AI288*AJ288/2,AK288)</f>
        <v>7.26</v>
      </c>
      <c r="AM288" t="s" s="19">
        <v>154</v>
      </c>
      <c r="AN288" s="5"/>
      <c r="AO288" s="5"/>
      <c r="AP288" s="5">
        <f>AL288+AI288*(AN288-AO288)/2</f>
        <v>7.26</v>
      </c>
      <c r="AQ288" s="5">
        <f>0.1*(AE288+AL288)</f>
        <v>2.146</v>
      </c>
      <c r="AR288" s="11">
        <v>7.26</v>
      </c>
      <c r="AS288" s="11"/>
      <c r="AT288" s="11"/>
      <c r="AU288" s="11"/>
      <c r="AV288" s="33">
        <v>18.7</v>
      </c>
      <c r="AW288" s="5">
        <f>IF(AV288=0,AS288/6*(AT288+AU288*4),AV288)</f>
        <v>18.7</v>
      </c>
      <c r="AX288" s="11">
        <v>0.5</v>
      </c>
      <c r="AY288" s="5">
        <f>IF(AX288&lt;0.149*M288+0.329,1,AX288/(0.149*M288+0.329))</f>
        <v>1</v>
      </c>
      <c r="AZ288" s="5">
        <f>IF(AW288*AY288&gt;AL288,(AW288*AY288-AL288)/4,0)</f>
        <v>2.86</v>
      </c>
      <c r="BA288" s="12">
        <f>0.401+0.1831*(2*AR288^2/(AH288+AP288+AZ288))-0.02016*(2*AR288^2/(AH288+AP288+AZ288))^2+0.0007472*(2*AR288^2/(AH288+AP288+AZ288))^3</f>
        <v>0.8767324760612533</v>
      </c>
      <c r="BB288" s="3"/>
      <c r="BC288" s="3"/>
      <c r="BD288" s="3"/>
      <c r="BE288" s="3"/>
      <c r="BF288" s="33"/>
      <c r="BG288" s="5">
        <f>IF(BF288=0,(BC288+BD288)*(BB288/12+BE288/3),BF288)</f>
        <v>0</v>
      </c>
      <c r="BH288" s="5">
        <f>IF(BG288*AY288&gt;AL288+AZ288,BG288*AY288-AL288-AZ288,0)</f>
        <v>0</v>
      </c>
      <c r="BI288" s="5">
        <f>IF(M288/1.6&lt;8,ROUND(M288/1.6,0),8)</f>
        <v>4</v>
      </c>
      <c r="BJ288" s="5">
        <f>(AH288+AP288+AZ288)*BA288+0.1*BH288</f>
        <v>21.32213381780968</v>
      </c>
      <c r="BK288" s="11">
        <v>1.15</v>
      </c>
      <c r="BL288" s="5">
        <f>M288*0.2</f>
        <v>1.22</v>
      </c>
      <c r="BM288" s="5">
        <f>ROUNDDOWN(M288/2.13,0)</f>
        <v>2</v>
      </c>
      <c r="BN288" s="12">
        <f>M288/4.26</f>
        <v>1.431924882629108</v>
      </c>
      <c r="BO288" s="5">
        <f>IF(M288&lt;8,1.22,IF(M288&lt;15.2,0.108333*M288+0.353,2))</f>
        <v>1.22</v>
      </c>
      <c r="BP288" s="12">
        <f>IF(BK288&lt;BO288,1+0.3*(BO288-BK288)/M288,1)</f>
        <v>1.00344262295082</v>
      </c>
      <c r="BQ288" s="39">
        <v>5</v>
      </c>
      <c r="BR288" s="39">
        <v>1</v>
      </c>
      <c r="BS288" t="s" s="24">
        <v>154</v>
      </c>
      <c r="BT288" s="36"/>
      <c r="BU288" s="36"/>
      <c r="BV288" s="5">
        <f>IF(BQ288&lt;(M288/0.3048)^0.5,1,IF(BU288="x",1-BR288*0.02,IF(BT288="x",1-BR288*0.01,1)))</f>
        <v>1</v>
      </c>
      <c r="BW288" s="12">
        <f>IF(K288="x",MIN(1.315,1.28+U288*N288/BJ288/AR288/1100),IF(L288="x",1.28,MAX(1.245,1.28-U288*N288/BJ288/AR288/1100)))</f>
        <v>1.296120643663036</v>
      </c>
      <c r="BX288" s="41">
        <f>BW288*T288*BV288*BP288*N288^0.3*BJ288^0.4/V288^0.325</f>
        <v>0.9856660263758408</v>
      </c>
      <c r="BY288" s="29"/>
      <c r="BZ288" s="29"/>
      <c r="CA288" s="3"/>
      <c r="CB288" s="3"/>
      <c r="CC288" s="3"/>
      <c r="CD288" s="3"/>
      <c r="CE288" s="3"/>
      <c r="CF288" s="3"/>
      <c r="CG288" t="s" s="30">
        <f>A288</f>
        <v>1762</v>
      </c>
    </row>
    <row r="289" ht="12.75" customHeight="1">
      <c r="A289" t="s" s="25">
        <v>1763</v>
      </c>
      <c r="B289" t="s" s="19">
        <v>1764</v>
      </c>
      <c r="C289" t="s" s="19">
        <v>828</v>
      </c>
      <c r="D289" t="s" s="19">
        <v>828</v>
      </c>
      <c r="E289" t="s" s="19">
        <v>1765</v>
      </c>
      <c r="F289" s="3"/>
      <c r="G289" t="s" s="19">
        <v>1766</v>
      </c>
      <c r="H289" s="32"/>
      <c r="I289" s="32"/>
      <c r="J289" s="36"/>
      <c r="K289" t="s" s="24">
        <v>154</v>
      </c>
      <c r="L289" s="36"/>
      <c r="M289" s="11">
        <v>8</v>
      </c>
      <c r="N289" s="5">
        <v>7.78</v>
      </c>
      <c r="O289" s="11">
        <v>6</v>
      </c>
      <c r="P289" s="11"/>
      <c r="Q289" s="37"/>
      <c r="R289" s="43">
        <v>1.3</v>
      </c>
      <c r="S289" s="36"/>
      <c r="T289" s="38">
        <f>IF(S289&gt;0,1.048,IF(R289&gt;0,1.048,IF(Q289&gt;0,1.036,0.907+1.55*(P289/N289)-4.449*(P289/N289)^2)))</f>
        <v>1.048</v>
      </c>
      <c r="U289" s="39">
        <v>895</v>
      </c>
      <c r="V289" s="40">
        <f>IF(H289="x",75+U289,IF(M289&lt;6.66,150+U289,-1.7384*M289^2+92.38*M289-388+U289))</f>
        <v>1134.7824</v>
      </c>
      <c r="W289" s="5">
        <v>2.8</v>
      </c>
      <c r="X289" s="5">
        <v>2.75</v>
      </c>
      <c r="Y289" s="5">
        <v>2.45</v>
      </c>
      <c r="Z289" s="5">
        <v>1.8</v>
      </c>
      <c r="AA289" s="5">
        <v>0.17</v>
      </c>
      <c r="AB289" s="5">
        <v>0</v>
      </c>
      <c r="AC289" s="5">
        <v>9.699999999999999</v>
      </c>
      <c r="AD289" s="33"/>
      <c r="AE289" s="5">
        <f>IF(AD289=0,(W289+4*X289+2*Y289+4*Z289+AA289)*AC289/12+W289*AB289/1.5,AD289)</f>
        <v>21.07325</v>
      </c>
      <c r="AF289" s="11"/>
      <c r="AG289" s="11">
        <v>0.365</v>
      </c>
      <c r="AH289" s="5">
        <f>IF(AC289=0,AE289+AF289*AG289/2,AE289+AC289*AG289/2)</f>
        <v>22.8435</v>
      </c>
      <c r="AI289" s="5">
        <v>8.23</v>
      </c>
      <c r="AJ289" s="5">
        <v>2.305</v>
      </c>
      <c r="AK289" s="33"/>
      <c r="AL289" s="5">
        <f>IF(AK289=0,AI289*AJ289/2,AK289)</f>
        <v>9.485075000000002</v>
      </c>
      <c r="AM289" s="3"/>
      <c r="AN289" s="3"/>
      <c r="AO289" s="5">
        <v>0.09</v>
      </c>
      <c r="AP289" s="5">
        <f>AL289+AI289*(AN289-AO289)/2</f>
        <v>9.114725000000002</v>
      </c>
      <c r="AQ289" s="5">
        <f>0.1*(AE289+AL289)</f>
        <v>3.055832500000001</v>
      </c>
      <c r="AR289" s="11">
        <v>11.09</v>
      </c>
      <c r="AS289" s="11"/>
      <c r="AT289" s="11"/>
      <c r="AU289" s="11"/>
      <c r="AV289" s="33">
        <v>11.95</v>
      </c>
      <c r="AW289" s="5">
        <f>IF(AV289=0,AS289/6*(AT289+AU289*4),AV289)</f>
        <v>11.95</v>
      </c>
      <c r="AX289" s="11">
        <v>1.4</v>
      </c>
      <c r="AY289" s="5">
        <f>IF(AX289&lt;0.149*M289+0.329,1,AX289/(0.149*M289+0.329))</f>
        <v>1</v>
      </c>
      <c r="AZ289" s="5">
        <f>IF(AW289*AY289&gt;AL289,(AW289*AY289-AL289)/4,0)</f>
        <v>0.6162312499999993</v>
      </c>
      <c r="BA289" s="12">
        <f>0.401+0.1831*(2*AR289^2/(AH289+AP289+AZ289))-0.02016*(2*AR289^2/(AH289+AP289+AZ289))^2+0.0007472*(2*AR289^2/(AH289+AP289+AZ289))^3</f>
        <v>0.9558139649639863</v>
      </c>
      <c r="BB289" s="5">
        <v>5.73</v>
      </c>
      <c r="BC289" s="5">
        <v>9.85</v>
      </c>
      <c r="BD289" s="5">
        <v>7.64</v>
      </c>
      <c r="BE289" s="5">
        <v>5.47</v>
      </c>
      <c r="BF289" s="33"/>
      <c r="BG289" s="5">
        <f>IF(BF289=0,(BC289+BD289)*(BB289/12+BE289/3),BF289)</f>
        <v>40.241575</v>
      </c>
      <c r="BH289" s="5">
        <f>IF(BG289*AY289&gt;AL289+AZ289,BG289*AY289-AL289-AZ289,0)</f>
        <v>30.14026875</v>
      </c>
      <c r="BI289" s="5">
        <f>IF(M289/1.6&lt;8,ROUND(M289/1.6,0),8)</f>
        <v>5</v>
      </c>
      <c r="BJ289" s="5">
        <f>(AH289+AP289+AZ289)*BA289+0.1*BH289</f>
        <v>34.14914705985841</v>
      </c>
      <c r="BK289" s="11">
        <v>1.34</v>
      </c>
      <c r="BL289" s="5">
        <f>M289*0.2</f>
        <v>1.6</v>
      </c>
      <c r="BM289" s="5">
        <f>ROUNDDOWN(M289/2.13,0)</f>
        <v>3</v>
      </c>
      <c r="BN289" s="12">
        <f>M289/4.26</f>
        <v>1.877934272300469</v>
      </c>
      <c r="BO289" s="5">
        <f>IF(M289&lt;8,1.22,IF(M289&lt;15.2,0.108333*M289+0.353,2))</f>
        <v>1.219664</v>
      </c>
      <c r="BP289" s="12">
        <f>IF(BK289&lt;BO289,1+0.3*(BO289-BK289)/M289,1)</f>
        <v>1</v>
      </c>
      <c r="BQ289" s="32"/>
      <c r="BR289" s="32"/>
      <c r="BS289" t="s" s="24">
        <v>154</v>
      </c>
      <c r="BT289" s="36"/>
      <c r="BU289" s="36"/>
      <c r="BV289" s="5">
        <f>IF(BQ289&lt;(M289/0.3048)^0.5,1,IF(BU289="x",1-BR289*0.02,IF(BT289="x",1-BR289*0.01,1)))</f>
        <v>1</v>
      </c>
      <c r="BW289" s="12">
        <f>IF(K289="x",MIN(1.315,1.28+U289*N289/BJ289/AR289/1100),IF(L289="x",1.28,MAX(1.245,1.28-U289*N289/BJ289/AR289/1100)))</f>
        <v>1.296714698230229</v>
      </c>
      <c r="BX289" s="41">
        <f>BW289*T289*BV289*BP289*N289^0.3*BJ289^0.4/V289^0.325</f>
        <v>1.04955438500821</v>
      </c>
      <c r="BY289" s="3"/>
      <c r="BZ289" s="3"/>
      <c r="CA289" t="s" s="19">
        <v>253</v>
      </c>
      <c r="CB289" s="46">
        <v>37057</v>
      </c>
      <c r="CC289" t="s" s="19">
        <v>254</v>
      </c>
      <c r="CD289" s="3"/>
      <c r="CE289" s="3"/>
      <c r="CF289" s="3"/>
      <c r="CG289" t="s" s="30">
        <f>A289</f>
        <v>1767</v>
      </c>
    </row>
    <row r="290" ht="12.75" customHeight="1">
      <c r="A290" t="s" s="25">
        <v>1768</v>
      </c>
      <c r="B290" t="s" s="19">
        <v>574</v>
      </c>
      <c r="C290" t="s" s="19">
        <v>1769</v>
      </c>
      <c r="D290" t="s" s="19">
        <v>169</v>
      </c>
      <c r="E290" t="s" s="19">
        <v>1770</v>
      </c>
      <c r="F290" s="3"/>
      <c r="G290" s="3"/>
      <c r="H290" s="32"/>
      <c r="I290" s="32"/>
      <c r="J290" s="36"/>
      <c r="K290" t="s" s="24">
        <v>154</v>
      </c>
      <c r="L290" s="36"/>
      <c r="M290" s="11">
        <v>9.140000000000001</v>
      </c>
      <c r="N290" s="5">
        <v>9.140000000000001</v>
      </c>
      <c r="O290" s="11">
        <v>8.4</v>
      </c>
      <c r="P290" s="11"/>
      <c r="Q290" s="37"/>
      <c r="R290" t="s" s="24">
        <v>1771</v>
      </c>
      <c r="S290" s="36"/>
      <c r="T290" s="38">
        <f>IF(S290&gt;0,1.048,IF(R290&gt;0,1.048,IF(Q290&gt;0,1.036,0.907+1.55*(P290/N290)-4.449*(P290/N290)^2)))</f>
        <v>1.048</v>
      </c>
      <c r="U290" s="39">
        <v>1900</v>
      </c>
      <c r="V290" s="40">
        <f>IF(H290="x",75+U290,IF(M290&lt;6.66,150+U290,-1.7384*M290^2+92.38*M290-388+U290))</f>
        <v>2211.12795936</v>
      </c>
      <c r="W290" s="5"/>
      <c r="X290" s="5"/>
      <c r="Y290" s="5"/>
      <c r="Z290" s="5"/>
      <c r="AA290" s="5"/>
      <c r="AB290" s="5"/>
      <c r="AC290" s="5">
        <v>11.3</v>
      </c>
      <c r="AD290" s="33">
        <v>35</v>
      </c>
      <c r="AE290" s="5">
        <f>IF(AD290=0,(W290+4*X290+2*Y290+4*Z290+AA290)*AC290/12+W290*AB290/1.5,AD290)</f>
        <v>35</v>
      </c>
      <c r="AF290" s="11">
        <v>12.5</v>
      </c>
      <c r="AG290" s="11">
        <v>0.503</v>
      </c>
      <c r="AH290" s="5">
        <f>IF(AC290=0,AE290+AF290*AG290/2,AE290+AC290*AG290/2)</f>
        <v>37.84195</v>
      </c>
      <c r="AI290" s="3"/>
      <c r="AJ290" s="3"/>
      <c r="AK290" s="33">
        <v>10</v>
      </c>
      <c r="AL290" s="5">
        <f>IF(AK290=0,AI290*AJ290/2,AK290)</f>
        <v>10</v>
      </c>
      <c r="AM290" s="3"/>
      <c r="AN290" s="5"/>
      <c r="AO290" s="5"/>
      <c r="AP290" s="5">
        <f>AL290+AI290*(AN290-AO290)/2</f>
        <v>10</v>
      </c>
      <c r="AQ290" s="5">
        <f>0.1*(AE290+AL290)</f>
        <v>4.5</v>
      </c>
      <c r="AR290" s="11">
        <v>13</v>
      </c>
      <c r="AS290" s="11"/>
      <c r="AT290" s="11"/>
      <c r="AU290" s="11"/>
      <c r="AV290" s="33">
        <v>25</v>
      </c>
      <c r="AW290" s="5">
        <f>IF(AV290=0,AS290/6*(AT290+AU290*4),AV290)</f>
        <v>25</v>
      </c>
      <c r="AX290" s="11">
        <v>1</v>
      </c>
      <c r="AY290" s="5">
        <f>IF(AX290&lt;0.149*M290+0.329,1,AX290/(0.149*M290+0.329))</f>
        <v>1</v>
      </c>
      <c r="AZ290" s="5">
        <f>IF(AW290*AY290&gt;AL290,(AW290*AY290-AL290)/4,0)</f>
        <v>3.75</v>
      </c>
      <c r="BA290" s="12">
        <f>0.401+0.1831*(2*AR290^2/(AH290+AP290+AZ290))-0.02016*(2*AR290^2/(AH290+AP290+AZ290))^2+0.0007472*(2*AR290^2/(AH290+AP290+AZ290))^3</f>
        <v>0.9453836791573921</v>
      </c>
      <c r="BB290" s="3"/>
      <c r="BC290" s="3"/>
      <c r="BD290" s="3"/>
      <c r="BE290" s="3"/>
      <c r="BF290" s="33">
        <v>60</v>
      </c>
      <c r="BG290" s="5">
        <f>IF(BF290=0,(BC290+BD290)*(BB290/12+BE290/3),BF290)</f>
        <v>60</v>
      </c>
      <c r="BH290" s="5">
        <f>IF(BG290*AY290&gt;AL290+AZ290,BG290*AY290-AL290-AZ290,0)</f>
        <v>46.25</v>
      </c>
      <c r="BI290" s="5">
        <f>IF(M290/1.6&lt;8,ROUND(M290/1.6,0),8)</f>
        <v>6</v>
      </c>
      <c r="BJ290" s="5">
        <f>(AH290+AP290+AZ290)*BA290+0.1*BH290</f>
        <v>53.39918750590421</v>
      </c>
      <c r="BK290" s="11">
        <v>1.75</v>
      </c>
      <c r="BL290" s="5">
        <f>M290*0.2</f>
        <v>1.828</v>
      </c>
      <c r="BM290" s="5">
        <f>ROUNDDOWN(M290/2.13,0)</f>
        <v>4</v>
      </c>
      <c r="BN290" s="12">
        <f>M290/4.26</f>
        <v>2.145539906103286</v>
      </c>
      <c r="BO290" s="5">
        <f>IF(M290&lt;8,1.22,IF(M290&lt;15.2,0.108333*M290+0.353,2))</f>
        <v>1.34316362</v>
      </c>
      <c r="BP290" s="12">
        <f>IF(BK290&lt;BO290,1+0.3*(BO290-BK290)/M290,1)</f>
        <v>1</v>
      </c>
      <c r="BQ290" s="39">
        <v>5</v>
      </c>
      <c r="BR290" s="39">
        <v>0</v>
      </c>
      <c r="BS290" t="s" s="24">
        <v>154</v>
      </c>
      <c r="BT290" s="36"/>
      <c r="BU290" s="36"/>
      <c r="BV290" s="5">
        <f>IF(BQ290&lt;(M290/0.3048)^0.5,1,IF(BU290="x",1-BR290*0.02,IF(BT290="x",1-BR290*0.01,1)))</f>
        <v>1</v>
      </c>
      <c r="BW290" s="12">
        <f>IF(K290="x",MIN(1.315,1.28+U290*N290/BJ290/AR290/1100),IF(L290="x",1.28,MAX(1.245,1.28-U290*N290/BJ290/AR290/1100)))</f>
        <v>1.302742023823327</v>
      </c>
      <c r="BX290" s="41">
        <f>BW290*T290*BV290*BP290*N290^0.3*BJ290^0.4/V290^0.325</f>
        <v>1.065412809618798</v>
      </c>
      <c r="BY290" s="29"/>
      <c r="BZ290" s="48"/>
      <c r="CA290" t="s" s="19">
        <v>213</v>
      </c>
      <c r="CB290" t="s" s="19">
        <v>430</v>
      </c>
      <c r="CC290" t="s" s="19">
        <v>180</v>
      </c>
      <c r="CD290" s="3"/>
      <c r="CE290" s="3"/>
      <c r="CF290" s="3"/>
      <c r="CG290" t="s" s="30">
        <f>A290</f>
        <v>1772</v>
      </c>
    </row>
    <row r="291" ht="12.75" customHeight="1">
      <c r="A291" t="s" s="25">
        <v>1773</v>
      </c>
      <c r="B291" t="s" s="19">
        <v>1774</v>
      </c>
      <c r="C291" t="s" s="19">
        <v>1176</v>
      </c>
      <c r="D291" t="s" s="19">
        <v>1301</v>
      </c>
      <c r="E291" t="s" s="19">
        <v>1775</v>
      </c>
      <c r="F291" s="3"/>
      <c r="G291" s="3"/>
      <c r="H291" s="32"/>
      <c r="I291" s="32"/>
      <c r="J291" s="36"/>
      <c r="K291" t="s" s="24">
        <v>154</v>
      </c>
      <c r="L291" s="36"/>
      <c r="M291" s="11">
        <v>8</v>
      </c>
      <c r="N291" s="5">
        <v>7.55</v>
      </c>
      <c r="O291" s="11"/>
      <c r="P291" s="11"/>
      <c r="Q291" s="37"/>
      <c r="R291" t="s" s="24">
        <v>154</v>
      </c>
      <c r="S291" s="36"/>
      <c r="T291" s="38">
        <f>IF(S291&gt;0,1.048,IF(R291&gt;0,1.048,IF(Q291&gt;0,1.036,0.907+1.55*(P291/N291)-4.449*(P291/N291)^2)))</f>
        <v>1.048</v>
      </c>
      <c r="U291" s="39">
        <v>1000</v>
      </c>
      <c r="V291" s="40">
        <f>IF(H291="x",75+U291,IF(M291&lt;6.66,150+U291,-1.7384*M291^2+92.38*M291-388+U291))</f>
        <v>1239.7824</v>
      </c>
      <c r="W291" s="5"/>
      <c r="X291" s="5"/>
      <c r="Y291" s="5"/>
      <c r="Z291" s="5"/>
      <c r="AA291" s="5"/>
      <c r="AB291" s="5"/>
      <c r="AC291" s="5"/>
      <c r="AD291" s="33">
        <v>22.5</v>
      </c>
      <c r="AE291" s="5">
        <f>IF(AD291=0,(W291+4*X291+2*Y291+4*Z291+AA291)*AC291/12+W291*AB291/1.5,AD291)</f>
        <v>22.5</v>
      </c>
      <c r="AF291" s="11">
        <v>9.800000000000001</v>
      </c>
      <c r="AG291" s="11"/>
      <c r="AH291" s="5">
        <f>IF(AC291=0,AE291+AF291*AG291/2,AE291+AC291*AG291/2)</f>
        <v>22.5</v>
      </c>
      <c r="AI291" s="3"/>
      <c r="AJ291" s="3"/>
      <c r="AK291" s="33">
        <v>18.5</v>
      </c>
      <c r="AL291" s="5">
        <f>IF(AK291=0,AI291*AJ291/2,AK291)</f>
        <v>18.5</v>
      </c>
      <c r="AM291" t="s" s="19">
        <v>154</v>
      </c>
      <c r="AN291" s="5"/>
      <c r="AO291" s="5"/>
      <c r="AP291" s="5">
        <f>AL291+AI291*(AN291-AO291)/2</f>
        <v>18.5</v>
      </c>
      <c r="AQ291" s="5">
        <f>0.1*(AE291+AL291)</f>
        <v>4.100000000000001</v>
      </c>
      <c r="AR291" s="11">
        <v>9.800000000000001</v>
      </c>
      <c r="AS291" s="11"/>
      <c r="AT291" s="11"/>
      <c r="AU291" s="11"/>
      <c r="AV291" s="33"/>
      <c r="AW291" s="5">
        <f>IF(AV291=0,AS291/6*(AT291+AU291*4),AV291)</f>
        <v>0</v>
      </c>
      <c r="AX291" s="11"/>
      <c r="AY291" s="5">
        <f>IF(AX291&lt;0.149*M291+0.329,1,AX291/(0.149*M291+0.329))</f>
        <v>1</v>
      </c>
      <c r="AZ291" s="5">
        <f>IF(AW291*AY291&gt;AL291,(AW291*AY291-AL291)/4,0)</f>
        <v>0</v>
      </c>
      <c r="BA291" s="12">
        <f>0.401+0.1831*(2*AR291^2/(AH291+AP291+AZ291))-0.02016*(2*AR291^2/(AH291+AP291+AZ291))^2+0.0007472*(2*AR291^2/(AH291+AP291+AZ291))^3</f>
        <v>0.8931579903174452</v>
      </c>
      <c r="BB291" s="3"/>
      <c r="BC291" s="3"/>
      <c r="BD291" s="3"/>
      <c r="BE291" s="3"/>
      <c r="BF291" s="33">
        <v>40</v>
      </c>
      <c r="BG291" s="5">
        <v>26</v>
      </c>
      <c r="BH291" s="5">
        <f>IF(BG291*AY291&gt;AL291+AZ291,BG291*AY291-AL291-AZ291,0)</f>
        <v>7.5</v>
      </c>
      <c r="BI291" s="5">
        <f>IF(M291/1.6&lt;8,ROUND(M291/1.6,0),8)</f>
        <v>5</v>
      </c>
      <c r="BJ291" s="5">
        <f>(AH291+AP291+AZ291)*BA291+0.1*BH291</f>
        <v>37.36947760301526</v>
      </c>
      <c r="BK291" s="11">
        <v>1.8</v>
      </c>
      <c r="BL291" s="5">
        <f>M291*0.2</f>
        <v>1.6</v>
      </c>
      <c r="BM291" s="5">
        <f>ROUNDDOWN(M291/2.13,0)</f>
        <v>3</v>
      </c>
      <c r="BN291" s="12">
        <f>M291/4.26</f>
        <v>1.877934272300469</v>
      </c>
      <c r="BO291" s="5">
        <f>IF(M291&lt;8,1.22,IF(M291&lt;15.2,0.108333*M291+0.353,2))</f>
        <v>1.219664</v>
      </c>
      <c r="BP291" s="12">
        <f>IF(BK291&lt;BO291,1+0.3*(BO291-BK291)/M291,1)</f>
        <v>1</v>
      </c>
      <c r="BQ291" s="32"/>
      <c r="BR291" s="32"/>
      <c r="BS291" t="s" s="24">
        <v>154</v>
      </c>
      <c r="BT291" s="36"/>
      <c r="BU291" s="36"/>
      <c r="BV291" s="5">
        <f>IF(BQ291&lt;(M291/0.3048)^0.5,1,IF(BU291="x",1-BR291*0.02,IF(BT291="x",1-BR291*0.01,1)))</f>
        <v>1</v>
      </c>
      <c r="BW291" s="12">
        <f>IF(K291="x",MIN(1.315,1.28+U291*N291/BJ291/AR291/1100),IF(L291="x",1.28,MAX(1.245,1.28-U291*N291/BJ291/AR291/1100)))</f>
        <v>1.298741794171011</v>
      </c>
      <c r="BX291" s="41">
        <f>BW291*T291*BV291*BP291*N291^0.3*BJ291^0.4/V291^0.325</f>
        <v>1.049391926709077</v>
      </c>
      <c r="BY291" s="29"/>
      <c r="BZ291" s="29"/>
      <c r="CA291" t="s" s="19">
        <v>162</v>
      </c>
      <c r="CB291" s="46">
        <v>37998</v>
      </c>
      <c r="CC291" t="s" s="19">
        <v>180</v>
      </c>
      <c r="CD291" t="s" s="19">
        <v>1776</v>
      </c>
      <c r="CE291" s="3"/>
      <c r="CF291" s="3"/>
      <c r="CG291" t="s" s="30">
        <f>A291</f>
        <v>1777</v>
      </c>
    </row>
    <row r="292" ht="12.75" customHeight="1">
      <c r="A292" t="s" s="25">
        <v>1778</v>
      </c>
      <c r="B292" t="s" s="19">
        <v>1779</v>
      </c>
      <c r="C292" t="s" s="19">
        <v>828</v>
      </c>
      <c r="D292" t="s" s="19">
        <v>828</v>
      </c>
      <c r="E292" t="s" s="19">
        <v>1780</v>
      </c>
      <c r="F292" s="4"/>
      <c r="G292" t="s" s="31">
        <v>1781</v>
      </c>
      <c r="H292" s="32"/>
      <c r="I292" s="32"/>
      <c r="J292" s="36"/>
      <c r="K292" t="s" s="24">
        <v>154</v>
      </c>
      <c r="L292" s="36"/>
      <c r="M292" s="11">
        <v>8.390000000000001</v>
      </c>
      <c r="N292" s="15">
        <f>M292-0.37</f>
        <v>8.020000000000001</v>
      </c>
      <c r="O292" s="11">
        <v>6</v>
      </c>
      <c r="P292" s="11"/>
      <c r="Q292" s="37">
        <v>1.42</v>
      </c>
      <c r="R292" s="36"/>
      <c r="S292" s="36"/>
      <c r="T292" s="38">
        <f>IF(S292&gt;0,1.048,IF(R292&gt;0,1.048,IF(Q292&gt;0,1.036,0.907+1.55*(P292/N292)-4.449*(P292/N292)^2)))</f>
        <v>1.036</v>
      </c>
      <c r="U292" s="39">
        <v>1780</v>
      </c>
      <c r="V292" s="45">
        <f>IF(H292="x",75+U292,IF(M292&lt;6.66,150+U292,-1.7384*M292^2+92.38*M292-388+U292))</f>
        <v>2044.69857336</v>
      </c>
      <c r="W292" s="9">
        <v>3.02</v>
      </c>
      <c r="X292" s="9">
        <v>2.84</v>
      </c>
      <c r="Y292" s="9">
        <v>2.47</v>
      </c>
      <c r="Z292" s="9">
        <v>1.76</v>
      </c>
      <c r="AA292" s="9">
        <v>0.2</v>
      </c>
      <c r="AB292" s="9">
        <v>0.07000000000000001</v>
      </c>
      <c r="AC292" s="9">
        <v>9.960000000000001</v>
      </c>
      <c r="AD292" s="33"/>
      <c r="AE292" s="5">
        <f>IF(AD292=0,(W292+4*X292+2*Y292+4*Z292+AA292)*AC292/12+W292*AB292/1.5,AD292)</f>
        <v>22.18573333333333</v>
      </c>
      <c r="AF292" s="11"/>
      <c r="AG292" s="11">
        <v>0</v>
      </c>
      <c r="AH292" s="5">
        <f>IF(AC292=0,AE292+AF292*AG292/2,AE292+AC292*AG292/2)</f>
        <v>22.18573333333333</v>
      </c>
      <c r="AI292" s="9">
        <v>9.76</v>
      </c>
      <c r="AJ292" s="9">
        <v>4.36</v>
      </c>
      <c r="AK292" s="33"/>
      <c r="AL292" s="5">
        <f>IF(AK292=0,AI292*AJ292/2,AK292)</f>
        <v>21.2768</v>
      </c>
      <c r="AM292" s="32"/>
      <c r="AN292" s="11"/>
      <c r="AO292" s="11">
        <v>0.1</v>
      </c>
      <c r="AP292" s="5">
        <f>AL292+AI292*(AN292-AO292)/2</f>
        <v>20.7888</v>
      </c>
      <c r="AQ292" s="5">
        <f>0.1*(AE292+AL292)</f>
        <v>4.346253333333333</v>
      </c>
      <c r="AR292" s="11">
        <v>10.86</v>
      </c>
      <c r="AS292" s="11"/>
      <c r="AT292" s="11"/>
      <c r="AU292" s="11"/>
      <c r="AV292" s="33"/>
      <c r="AW292" s="5">
        <f>IF(AV292=0,AS292/6*(AT292+AU292*4),AV292)</f>
        <v>0</v>
      </c>
      <c r="AX292" s="11">
        <v>0.45</v>
      </c>
      <c r="AY292" s="5">
        <f>IF(AX292&lt;0.149*M292+0.329,1,AX292/(0.149*M292+0.329))</f>
        <v>1</v>
      </c>
      <c r="AZ292" s="5">
        <f>IF(AW292*AY292&gt;AL292,(AW292*AY292-AL292)/4,0)</f>
        <v>0</v>
      </c>
      <c r="BA292" s="12">
        <f>0.401+0.1831*(2*AR292^2/(AH292+AP292+AZ292))-0.02016*(2*AR292^2/(AH292+AP292+AZ292))^2+0.0007472*(2*AR292^2/(AH292+AP292+AZ292))^3</f>
        <v>0.9221983512744362</v>
      </c>
      <c r="BB292" s="9">
        <v>6.6</v>
      </c>
      <c r="BC292" s="9">
        <v>9.970000000000001</v>
      </c>
      <c r="BD292" s="9">
        <v>9.970000000000001</v>
      </c>
      <c r="BE292" s="9">
        <v>7</v>
      </c>
      <c r="BF292" s="33"/>
      <c r="BG292" s="5">
        <f>IF(BF292=0,(BC292+BD292)*(BB292/12+BE292/3),BF292)</f>
        <v>57.49366666666667</v>
      </c>
      <c r="BH292" s="5">
        <f>IF(BG292*AY292&gt;AL292+AZ292,BG292*AY292-AL292-AZ292,0)</f>
        <v>36.21686666666667</v>
      </c>
      <c r="BI292" s="5">
        <f>IF(M292/1.6&lt;8,ROUND(M292/1.6,0),8)</f>
        <v>5</v>
      </c>
      <c r="BJ292" s="15">
        <f>(AH292+AP292+AZ292)*BA292+0.1*BH292</f>
        <v>43.25273045345497</v>
      </c>
      <c r="BK292" s="11">
        <v>1.62</v>
      </c>
      <c r="BL292" s="5">
        <f>M292*0.2</f>
        <v>1.678</v>
      </c>
      <c r="BM292" s="5">
        <f>ROUNDDOWN(M292/2.13,0)</f>
        <v>3</v>
      </c>
      <c r="BN292" s="12">
        <f>M292/4.26</f>
        <v>1.969483568075118</v>
      </c>
      <c r="BO292" s="5">
        <f>IF(M292&lt;8,1.22,IF(M292&lt;15.2,0.108333*M292+0.353,2))</f>
        <v>1.26191387</v>
      </c>
      <c r="BP292" s="7">
        <f>IF(BK292&lt;BO292,1+0.3*(BO292-BK292)/M292,1)</f>
        <v>1</v>
      </c>
      <c r="BQ292" s="32"/>
      <c r="BR292" s="32"/>
      <c r="BS292" t="s" s="24">
        <v>154</v>
      </c>
      <c r="BT292" s="36"/>
      <c r="BU292" s="36"/>
      <c r="BV292" s="15">
        <f>IF(BQ292&lt;(M292/0.3048)^0.5,1,IF(BU292="x",1-BR292*0.02,IF(BT292="x",1-BR292*0.01,1)))</f>
        <v>1</v>
      </c>
      <c r="BW292" s="7">
        <f>IF(K292="x",MIN(1.315,1.28+U292*N292/BJ292/AR292/1100),IF(L292="x",1.28,MAX(1.245,1.28-U292*N292/BJ292/AR292/1100)))</f>
        <v>1.307628565174392</v>
      </c>
      <c r="BX292" s="41">
        <f>BW292*T292*BV292*BP292*N292^0.3*BJ292^0.4/V292^0.325</f>
        <v>0.9584012159399367</v>
      </c>
      <c r="BY292" s="3"/>
      <c r="BZ292" s="3"/>
      <c r="CA292" t="s" s="31">
        <v>589</v>
      </c>
      <c r="CB292" s="87">
        <v>37435</v>
      </c>
      <c r="CC292" t="s" s="88">
        <v>254</v>
      </c>
      <c r="CD292" t="s" s="19">
        <v>1782</v>
      </c>
      <c r="CE292" s="3"/>
      <c r="CF292" s="3"/>
      <c r="CG292" t="s" s="30">
        <f>A292</f>
        <v>1783</v>
      </c>
    </row>
    <row r="293" ht="12.75" customHeight="1">
      <c r="A293" t="s" s="25">
        <v>1784</v>
      </c>
      <c r="B293" t="s" s="19">
        <v>480</v>
      </c>
      <c r="C293" t="s" s="19">
        <v>193</v>
      </c>
      <c r="D293" t="s" s="19">
        <v>193</v>
      </c>
      <c r="E293" t="s" s="19">
        <v>1785</v>
      </c>
      <c r="F293" s="3"/>
      <c r="G293" s="42">
        <v>275</v>
      </c>
      <c r="H293" s="32"/>
      <c r="I293" s="32"/>
      <c r="J293" s="36"/>
      <c r="K293" t="s" s="24">
        <v>154</v>
      </c>
      <c r="L293" s="36"/>
      <c r="M293" s="11">
        <v>8</v>
      </c>
      <c r="N293" s="5">
        <v>7.8</v>
      </c>
      <c r="O293" s="11"/>
      <c r="P293" s="11"/>
      <c r="Q293" t="s" s="24">
        <v>161</v>
      </c>
      <c r="R293" s="36"/>
      <c r="S293" s="36"/>
      <c r="T293" s="38">
        <f>IF(S293&gt;0,1.048,IF(R293&gt;0,1.048,IF(Q293&gt;0,1.036,0.907+1.55*(P293/N293)-4.449*(P293/N293)^2)))</f>
        <v>1.036</v>
      </c>
      <c r="U293" s="39">
        <v>1142</v>
      </c>
      <c r="V293" s="40">
        <f>IF(H293="x",75+U293,IF(M293&lt;6.66,150+U293,-1.7384*M293^2+92.38*M293-388+U293))</f>
        <v>1381.7824</v>
      </c>
      <c r="W293" s="5">
        <v>3</v>
      </c>
      <c r="X293" s="5">
        <v>2.85</v>
      </c>
      <c r="Y293" s="5">
        <v>2.54</v>
      </c>
      <c r="Z293" s="5">
        <v>1.91</v>
      </c>
      <c r="AA293" s="5">
        <v>0.53</v>
      </c>
      <c r="AB293" s="5"/>
      <c r="AC293" s="5">
        <v>9.74</v>
      </c>
      <c r="AD293" s="33"/>
      <c r="AE293" s="5">
        <f>IF(AD293=0,(W293+4*X293+2*Y293+4*Z293+AA293)*AC293/12+W293*AB293/1.5,AD293)</f>
        <v>22.44258333333334</v>
      </c>
      <c r="AF293" s="11">
        <v>11</v>
      </c>
      <c r="AG293" s="11">
        <v>0.42</v>
      </c>
      <c r="AH293" s="5">
        <f>IF(AC293=0,AE293+AF293*AG293/2,AE293+AC293*AG293/2)</f>
        <v>24.48798333333334</v>
      </c>
      <c r="AI293" s="5">
        <v>8.52</v>
      </c>
      <c r="AJ293" s="5">
        <v>2.88</v>
      </c>
      <c r="AK293" s="33"/>
      <c r="AL293" s="5">
        <f>IF(AK293=0,AI293*AJ293/2,AK293)</f>
        <v>12.2688</v>
      </c>
      <c r="AM293" s="3"/>
      <c r="AN293" s="5"/>
      <c r="AO293" s="5"/>
      <c r="AP293" s="5">
        <f>AL293+AI293*(AN293-AO293)/2</f>
        <v>12.2688</v>
      </c>
      <c r="AQ293" s="5">
        <f>0.1*(AE293+AL293)</f>
        <v>3.471138333333333</v>
      </c>
      <c r="AR293" s="11">
        <v>11.3</v>
      </c>
      <c r="AS293" s="11"/>
      <c r="AT293" s="11"/>
      <c r="AU293" s="11"/>
      <c r="AV293" s="33"/>
      <c r="AW293" s="5">
        <f>IF(AV293=0,AS293/6*(AT293+AU293*4),AV293)</f>
        <v>0</v>
      </c>
      <c r="AX293" s="11">
        <v>1.3</v>
      </c>
      <c r="AY293" s="5">
        <f>IF(AX293&lt;0.149*M293+0.329,1,AX293/(0.149*M293+0.329))</f>
        <v>1</v>
      </c>
      <c r="AZ293" s="5">
        <f>IF(AW293*AY293&gt;AL293,(AW293*AY293-AL293)/4,0)</f>
        <v>0</v>
      </c>
      <c r="BA293" s="12">
        <f>0.401+0.1831*(2*AR293^2/(AH293+AP293+AZ293))-0.02016*(2*AR293^2/(AH293+AP293+AZ293))^2+0.0007472*(2*AR293^2/(AH293+AP293+AZ293))^3</f>
        <v>0.9505792314807389</v>
      </c>
      <c r="BB293" s="3"/>
      <c r="BC293" s="3"/>
      <c r="BD293" s="3"/>
      <c r="BE293" s="3"/>
      <c r="BF293" s="33">
        <v>37.8</v>
      </c>
      <c r="BG293" s="5">
        <f>IF(BF293=0,(BC293+BD293)*(BB293/12+BE293/3),BF293)</f>
        <v>37.8</v>
      </c>
      <c r="BH293" s="5">
        <f>IF(BG293*AY293&gt;AL293+AZ293,BG293*AY293-AL293-AZ293,0)</f>
        <v>25.5312</v>
      </c>
      <c r="BI293" s="5">
        <f>IF(M293/1.6&lt;8,ROUND(M293/1.6,0),8)</f>
        <v>5</v>
      </c>
      <c r="BJ293" s="5">
        <f>(AH293+AP293+AZ293)*BA293+0.1*BH293</f>
        <v>37.49335485270403</v>
      </c>
      <c r="BK293" s="11">
        <v>1.4</v>
      </c>
      <c r="BL293" s="5">
        <f>M293*0.2</f>
        <v>1.6</v>
      </c>
      <c r="BM293" s="5">
        <f>ROUNDDOWN(M293/2.13,0)</f>
        <v>3</v>
      </c>
      <c r="BN293" s="12">
        <f>M293/4.26</f>
        <v>1.877934272300469</v>
      </c>
      <c r="BO293" s="5">
        <f>IF(M293&lt;8,1.22,IF(M293&lt;15.2,0.108333*M293+0.353,2))</f>
        <v>1.219664</v>
      </c>
      <c r="BP293" s="12">
        <f>IF(BK293&lt;BO293,1+0.3*(BO293-BK293)/M293,1)</f>
        <v>1</v>
      </c>
      <c r="BQ293" s="32"/>
      <c r="BR293" s="32"/>
      <c r="BS293" t="s" s="24">
        <v>154</v>
      </c>
      <c r="BT293" s="36"/>
      <c r="BU293" s="36"/>
      <c r="BV293" s="5">
        <f>IF(BQ293&lt;(M293/0.3048)^0.5,1,IF(BU293="x",1-BR293*0.02,IF(BT293="x",1-BR293*0.01,1)))</f>
        <v>1</v>
      </c>
      <c r="BW293" s="12">
        <f>IF(K293="x",MIN(1.315,1.28+U293*N293/BJ293/AR293/1100),IF(L293="x",1.28,MAX(1.245,1.28-U293*N293/BJ293/AR293/1100)))</f>
        <v>1.29911328236303</v>
      </c>
      <c r="BX293" s="41">
        <f>BW293*T293*BV293*BP293*N293^0.3*BJ293^0.4/V293^0.325</f>
        <v>1.012917307224196</v>
      </c>
      <c r="BY293" s="29"/>
      <c r="BZ293" s="48"/>
      <c r="CA293" t="s" s="19">
        <v>698</v>
      </c>
      <c r="CB293" t="s" s="19">
        <v>699</v>
      </c>
      <c r="CC293" t="s" s="19">
        <v>987</v>
      </c>
      <c r="CD293" t="s" s="19">
        <v>483</v>
      </c>
      <c r="CE293" s="3"/>
      <c r="CF293" s="3"/>
      <c r="CG293" t="s" s="30">
        <f>A293</f>
        <v>1786</v>
      </c>
    </row>
    <row r="294" ht="12.75" customHeight="1">
      <c r="A294" t="s" s="25">
        <v>1787</v>
      </c>
      <c r="B294" t="s" s="19">
        <v>911</v>
      </c>
      <c r="C294" t="s" s="19">
        <v>193</v>
      </c>
      <c r="D294" t="s" s="19">
        <v>193</v>
      </c>
      <c r="E294" t="s" s="19">
        <v>1788</v>
      </c>
      <c r="F294" s="3"/>
      <c r="G294" t="s" s="19">
        <v>1789</v>
      </c>
      <c r="H294" s="32"/>
      <c r="I294" s="32"/>
      <c r="J294" s="36"/>
      <c r="K294" t="s" s="24">
        <v>154</v>
      </c>
      <c r="L294" s="36"/>
      <c r="M294" s="11">
        <v>7.74</v>
      </c>
      <c r="N294" s="5">
        <v>7.7</v>
      </c>
      <c r="O294" s="11"/>
      <c r="P294" s="11"/>
      <c r="Q294" s="37"/>
      <c r="R294" t="s" s="24">
        <v>913</v>
      </c>
      <c r="S294" s="36"/>
      <c r="T294" s="38">
        <f>IF(S294&gt;0,1.048,IF(R294&gt;0,1.048,IF(Q294&gt;0,1.036,0.907+1.55*(P294/N294)-4.449*(P294/N294)^2)))</f>
        <v>1.048</v>
      </c>
      <c r="U294" s="39">
        <v>912</v>
      </c>
      <c r="V294" s="40">
        <f>IF(H294="x",75+U294,IF(M294&lt;6.66,150+U294,-1.7384*M294^2+92.38*M294-388+U294))</f>
        <v>1134.87782816</v>
      </c>
      <c r="W294" s="5">
        <v>3</v>
      </c>
      <c r="X294" s="5">
        <v>2.93</v>
      </c>
      <c r="Y294" s="5">
        <v>2.54</v>
      </c>
      <c r="Z294" s="5">
        <v>1.68</v>
      </c>
      <c r="AA294" s="5">
        <v>0.15</v>
      </c>
      <c r="AB294" s="5"/>
      <c r="AC294" s="5">
        <v>9.800000000000001</v>
      </c>
      <c r="AD294" s="33"/>
      <c r="AE294" s="5">
        <f>IF(AD294=0,(W294+4*X294+2*Y294+4*Z294+AA294)*AC294/12+W294*AB294/1.5,AD294)</f>
        <v>21.7805</v>
      </c>
      <c r="AF294" s="11">
        <v>10.85</v>
      </c>
      <c r="AG294" s="11">
        <v>0.36</v>
      </c>
      <c r="AH294" s="5">
        <f>IF(AC294=0,AE294+AF294*AG294/2,AE294+AC294*AG294/2)</f>
        <v>23.5445</v>
      </c>
      <c r="AI294" s="5">
        <v>8.06</v>
      </c>
      <c r="AJ294" s="5">
        <v>2.1</v>
      </c>
      <c r="AK294" s="33"/>
      <c r="AL294" s="5">
        <f>IF(AK294=0,AI294*AJ294/2,AK294)</f>
        <v>8.463000000000001</v>
      </c>
      <c r="AM294" s="3"/>
      <c r="AN294" s="5"/>
      <c r="AO294" s="5">
        <v>0.08</v>
      </c>
      <c r="AP294" s="5">
        <f>AL294+AI294*(AN294-AO294)/2</f>
        <v>8.140600000000001</v>
      </c>
      <c r="AQ294" s="5">
        <f>0.1*(AE294+AL294)</f>
        <v>3.02435</v>
      </c>
      <c r="AR294" s="11">
        <v>10.85</v>
      </c>
      <c r="AS294" s="11"/>
      <c r="AT294" s="11"/>
      <c r="AU294" s="11"/>
      <c r="AV294" s="33"/>
      <c r="AW294" s="5">
        <f>IF(AV294=0,AS294/6*(AT294+AU294*4),AV294)</f>
        <v>0</v>
      </c>
      <c r="AX294" s="11"/>
      <c r="AY294" s="5">
        <f>IF(AX294&lt;0.149*M294+0.329,1,AX294/(0.149*M294+0.329))</f>
        <v>1</v>
      </c>
      <c r="AZ294" s="5">
        <f>IF(AW294*AY294&gt;AL294,(AW294*AY294-AL294)/4,0)</f>
        <v>0</v>
      </c>
      <c r="BA294" s="12">
        <f>0.401+0.1831*(2*AR294^2/(AH294+AP294+AZ294))-0.02016*(2*AR294^2/(AH294+AP294+AZ294))^2+0.0007472*(2*AR294^2/(AH294+AP294+AZ294))^3</f>
        <v>0.9549887050558548</v>
      </c>
      <c r="BB294" s="3"/>
      <c r="BC294" s="3"/>
      <c r="BD294" s="3"/>
      <c r="BE294" s="3"/>
      <c r="BF294" s="33"/>
      <c r="BG294" s="5">
        <f>IF(BF294=0,(BC294+BD294)*(BB294/12+BE294/3),BF294)</f>
        <v>0</v>
      </c>
      <c r="BH294" s="5">
        <f>IF(BG294*AY294&gt;AL294+AZ294,BG294*AY294-AL294-AZ294,0)</f>
        <v>0</v>
      </c>
      <c r="BI294" s="5">
        <f>IF(M294/1.6&lt;8,ROUND(M294/1.6,0),8)</f>
        <v>5</v>
      </c>
      <c r="BJ294" s="5">
        <f>(AH294+AP294+AZ294)*BA294+0.1*BH294</f>
        <v>30.25891261856526</v>
      </c>
      <c r="BK294" s="11">
        <v>1.4</v>
      </c>
      <c r="BL294" s="5">
        <f>M294*0.2</f>
        <v>1.548</v>
      </c>
      <c r="BM294" s="5">
        <f>ROUNDDOWN(M294/2.13,0)</f>
        <v>3</v>
      </c>
      <c r="BN294" s="12">
        <f>M294/4.26</f>
        <v>1.816901408450704</v>
      </c>
      <c r="BO294" s="5">
        <f>IF(M294&lt;8,1.22,IF(M294&lt;15.2,0.108333*M294+0.353,2))</f>
        <v>1.22</v>
      </c>
      <c r="BP294" s="12">
        <f>IF(BK294&lt;BO294,1+0.3*(BO294-BK294)/M294,1)</f>
        <v>1</v>
      </c>
      <c r="BQ294" s="32"/>
      <c r="BR294" s="32"/>
      <c r="BS294" t="s" s="24">
        <v>154</v>
      </c>
      <c r="BT294" s="36"/>
      <c r="BU294" s="36"/>
      <c r="BV294" s="5">
        <f>IF(BQ294&lt;(M294/0.3048)^0.5,1,IF(BU294="x",1-BR294*0.02,IF(BT294="x",1-BR294*0.01,1)))</f>
        <v>1</v>
      </c>
      <c r="BW294" s="12">
        <f>IF(K294="x",MIN(1.315,1.28+U294*N294/BJ294/AR294/1100),IF(L294="x",1.28,MAX(1.245,1.28-U294*N294/BJ294/AR294/1100)))</f>
        <v>1.299445083972158</v>
      </c>
      <c r="BX294" s="41">
        <f>BW294*T294*BV294*BP294*N294^0.3*BJ294^0.4/V294^0.325</f>
        <v>0.9989627547487949</v>
      </c>
      <c r="BY294" s="48"/>
      <c r="BZ294" s="29"/>
      <c r="CA294" t="s" s="19">
        <v>162</v>
      </c>
      <c r="CB294" s="42">
        <v>1997</v>
      </c>
      <c r="CC294" t="s" s="19">
        <v>254</v>
      </c>
      <c r="CD294" t="s" s="19">
        <v>415</v>
      </c>
      <c r="CE294" s="3"/>
      <c r="CF294" s="3"/>
      <c r="CG294" t="s" s="30">
        <f>A294</f>
        <v>1790</v>
      </c>
    </row>
    <row r="295" ht="12.75" customHeight="1">
      <c r="A295" t="s" s="25">
        <v>1791</v>
      </c>
      <c r="B295" t="s" s="19">
        <v>507</v>
      </c>
      <c r="C295" t="s" s="19">
        <v>344</v>
      </c>
      <c r="D295" t="s" s="19">
        <v>345</v>
      </c>
      <c r="E295" t="s" s="19">
        <v>1792</v>
      </c>
      <c r="F295" t="s" s="19">
        <v>1793</v>
      </c>
      <c r="G295" t="s" s="19">
        <v>1794</v>
      </c>
      <c r="H295" s="32"/>
      <c r="I295" s="32"/>
      <c r="J295" s="36"/>
      <c r="K295" t="s" s="24">
        <v>154</v>
      </c>
      <c r="L295" s="36"/>
      <c r="M295" s="11">
        <v>8.66</v>
      </c>
      <c r="N295" s="5">
        <v>8.66</v>
      </c>
      <c r="O295" s="11">
        <v>6.1</v>
      </c>
      <c r="P295" s="11"/>
      <c r="Q295" s="37"/>
      <c r="R295" t="s" s="24">
        <v>1795</v>
      </c>
      <c r="S295" s="36"/>
      <c r="T295" s="38">
        <f>IF(S295&gt;0,1.048,IF(R295&gt;0,1.048,IF(Q295&gt;0,1.036,0.907+1.55*(P295/N295)-4.449*(P295/N295)^2)))</f>
        <v>1.048</v>
      </c>
      <c r="U295" s="39">
        <v>1400</v>
      </c>
      <c r="V295" s="40">
        <f>IF(H295="x",75+U295,IF(M295&lt;6.66,150+U295,-1.7384*M295^2+92.38*M295-388+U295))</f>
        <v>1681.63844896</v>
      </c>
      <c r="W295" s="5"/>
      <c r="X295" s="5"/>
      <c r="Y295" s="5"/>
      <c r="Z295" s="5"/>
      <c r="AA295" s="5"/>
      <c r="AB295" s="5"/>
      <c r="AC295" s="5">
        <v>10.91</v>
      </c>
      <c r="AD295" s="33">
        <v>29.8</v>
      </c>
      <c r="AE295" s="5">
        <f>IF(AD295=0,(W295+4*X295+2*Y295+4*Z295+AA295)*AC295/12+W295*AB295/1.5,AD295)</f>
        <v>29.8</v>
      </c>
      <c r="AF295" s="11">
        <v>11.22</v>
      </c>
      <c r="AG295" s="11">
        <v>0.48</v>
      </c>
      <c r="AH295" s="5">
        <f>IF(AC295=0,AE295+AF295*AG295/2,AE295+AC295*AG295/2)</f>
        <v>32.4184</v>
      </c>
      <c r="AI295" s="5">
        <v>9.18</v>
      </c>
      <c r="AJ295" s="3"/>
      <c r="AK295" s="33">
        <v>16.3</v>
      </c>
      <c r="AL295" s="5">
        <f>IF(AK295=0,AI295*AJ295/2,AK295)</f>
        <v>16.3</v>
      </c>
      <c r="AM295" t="s" s="19">
        <v>154</v>
      </c>
      <c r="AN295" s="5"/>
      <c r="AO295" s="5"/>
      <c r="AP295" s="5">
        <f>AL295+AI295*(AN295-AO295)/2</f>
        <v>16.3</v>
      </c>
      <c r="AQ295" s="5">
        <f>0.1*(AE295+AL295)</f>
        <v>4.61</v>
      </c>
      <c r="AR295" s="11">
        <v>12.59</v>
      </c>
      <c r="AS295" s="11"/>
      <c r="AT295" s="11"/>
      <c r="AU295" s="11"/>
      <c r="AV295" s="33">
        <v>33.3</v>
      </c>
      <c r="AW295" s="5">
        <f>IF(AV295=0,AS295/6*(AT295+AU295*4),AV295)</f>
        <v>33.3</v>
      </c>
      <c r="AX295" s="11">
        <v>1.8</v>
      </c>
      <c r="AY295" s="5">
        <f>IF(AX295&lt;0.149*M295+0.329,1,AX295/(0.149*M295+0.329))</f>
        <v>1.111563970506503</v>
      </c>
      <c r="AZ295" s="5">
        <f>IF(AW295*AY295&gt;AL295,(AW295*AY295-AL295)/4,0)</f>
        <v>5.178770054466633</v>
      </c>
      <c r="BA295" s="12">
        <f>0.401+0.1831*(2*AR295^2/(AH295+AP295+AZ295))-0.02016*(2*AR295^2/(AH295+AP295+AZ295))^2+0.0007472*(2*AR295^2/(AH295+AP295+AZ295))^3</f>
        <v>0.9325559486076966</v>
      </c>
      <c r="BB295" s="3"/>
      <c r="BC295" s="3"/>
      <c r="BD295" s="3"/>
      <c r="BE295" s="3"/>
      <c r="BF295" s="33">
        <v>72.5</v>
      </c>
      <c r="BG295" s="5">
        <f>IF(BF295=0,(BC295+BD295)*(BB295/12+BE295/3),BF295)</f>
        <v>72.5</v>
      </c>
      <c r="BH295" s="5">
        <f>IF(BG295*AY295&gt;AL295+AZ295,BG295*AY295-AL295-AZ295,0)</f>
        <v>59.10961780725481</v>
      </c>
      <c r="BI295" s="5">
        <f>IF(M295/1.6&lt;8,ROUND(M295/1.6,0),8)</f>
        <v>5</v>
      </c>
      <c r="BJ295" s="5">
        <f>(AH295+AP295+AZ295)*BA295+0.1*BH295</f>
        <v>56.17308832813895</v>
      </c>
      <c r="BK295" s="11">
        <v>1.65</v>
      </c>
      <c r="BL295" s="5">
        <f>M295*0.2</f>
        <v>1.732</v>
      </c>
      <c r="BM295" s="5">
        <f>ROUNDDOWN(M295/2.13,0)</f>
        <v>4</v>
      </c>
      <c r="BN295" s="12">
        <f>M295/4.26</f>
        <v>2.032863849765258</v>
      </c>
      <c r="BO295" s="5">
        <f>IF(M295&lt;8,1.22,IF(M295&lt;15.2,0.108333*M295+0.353,2))</f>
        <v>1.29116378</v>
      </c>
      <c r="BP295" s="12">
        <f>IF(BK295&lt;BO295,1+0.3*(BO295-BK295)/M295,1)</f>
        <v>1</v>
      </c>
      <c r="BQ295" s="39">
        <v>4.5</v>
      </c>
      <c r="BR295" s="32"/>
      <c r="BS295" t="s" s="24">
        <v>154</v>
      </c>
      <c r="BT295" s="36"/>
      <c r="BU295" s="36"/>
      <c r="BV295" s="5">
        <f>IF(BQ295&lt;(M295/0.3048)^0.5,1,IF(BU295="x",1-BR295*0.02,IF(BT295="x",1-BR295*0.01,1)))</f>
        <v>1</v>
      </c>
      <c r="BW295" s="12">
        <f>IF(K295="x",MIN(1.315,1.28+U295*N295/BJ295/AR295/1100),IF(L295="x",1.28,MAX(1.245,1.28-U295*N295/BJ295/AR295/1100)))</f>
        <v>1.295584727424742</v>
      </c>
      <c r="BX295" s="41">
        <f>BW295*T295*BV295*BP295*N295^0.3*BJ295^0.4/V295^0.325</f>
        <v>1.16286871420424</v>
      </c>
      <c r="BY295" s="29"/>
      <c r="BZ295" s="29"/>
      <c r="CA295" t="s" s="19">
        <v>188</v>
      </c>
      <c r="CB295" s="42">
        <v>2008</v>
      </c>
      <c r="CC295" t="s" s="19">
        <v>1796</v>
      </c>
      <c r="CD295" s="3"/>
      <c r="CE295" s="3"/>
      <c r="CF295" s="3"/>
      <c r="CG295" t="s" s="30">
        <f>A295</f>
        <v>1797</v>
      </c>
    </row>
    <row r="296" ht="12.75" customHeight="1">
      <c r="A296" t="s" s="25">
        <v>1798</v>
      </c>
      <c r="B296" t="s" s="19">
        <v>1799</v>
      </c>
      <c r="C296" t="s" s="19">
        <v>803</v>
      </c>
      <c r="D296" t="s" s="19">
        <v>169</v>
      </c>
      <c r="E296" t="s" s="19">
        <v>1800</v>
      </c>
      <c r="F296" t="s" s="19">
        <v>1801</v>
      </c>
      <c r="G296" s="3"/>
      <c r="H296" s="32"/>
      <c r="I296" s="32"/>
      <c r="J296" s="36"/>
      <c r="K296" t="s" s="24">
        <v>154</v>
      </c>
      <c r="L296" s="36"/>
      <c r="M296" s="11">
        <v>6.95</v>
      </c>
      <c r="N296" s="5">
        <v>6.78</v>
      </c>
      <c r="O296" s="11">
        <v>5.5</v>
      </c>
      <c r="P296" s="11"/>
      <c r="Q296" s="37"/>
      <c r="R296" t="s" s="24">
        <v>1802</v>
      </c>
      <c r="S296" s="36"/>
      <c r="T296" s="38">
        <f>IF(S296&gt;0,1.048,IF(R296&gt;0,1.048,IF(Q296&gt;0,1.036,0.907+1.55*(P296/N296)-4.449*(P296/N296)^2)))</f>
        <v>1.048</v>
      </c>
      <c r="U296" s="39">
        <v>790</v>
      </c>
      <c r="V296" s="40">
        <f>IF(H296="x",75+U296,IF(M296&lt;6.66,150+U296,-1.7384*M296^2+92.38*M296-388+U296))</f>
        <v>960.0719339999999</v>
      </c>
      <c r="W296" s="5"/>
      <c r="X296" s="5"/>
      <c r="Y296" s="5"/>
      <c r="Z296" s="5"/>
      <c r="AA296" s="5"/>
      <c r="AB296" s="5"/>
      <c r="AC296" s="5">
        <v>8.359999999999999</v>
      </c>
      <c r="AD296" s="33">
        <v>17</v>
      </c>
      <c r="AE296" s="5">
        <f>IF(AD296=0,(W296+4*X296+2*Y296+4*Z296+AA296)*AC296/12+W296*AB296/1.5,AD296)</f>
        <v>17</v>
      </c>
      <c r="AF296" s="11">
        <v>9.4</v>
      </c>
      <c r="AG296" s="11">
        <v>0.42</v>
      </c>
      <c r="AH296" s="5">
        <f>IF(AC296=0,AE296+AF296*AG296/2,AE296+AC296*AG296/2)</f>
        <v>18.7556</v>
      </c>
      <c r="AI296" s="5">
        <v>7.45</v>
      </c>
      <c r="AJ296" s="3"/>
      <c r="AK296" s="33">
        <v>8.300000000000001</v>
      </c>
      <c r="AL296" s="5">
        <f>IF(AK296=0,AI296*AJ296/2,AK296)</f>
        <v>8.300000000000001</v>
      </c>
      <c r="AM296" t="s" s="19">
        <v>154</v>
      </c>
      <c r="AN296" s="5"/>
      <c r="AO296" s="5"/>
      <c r="AP296" s="5">
        <f>AL296+AI296*(AN296-AO296)/2</f>
        <v>8.300000000000001</v>
      </c>
      <c r="AQ296" s="5">
        <f>0.1*(AE296+AL296)</f>
        <v>2.53</v>
      </c>
      <c r="AR296" s="11">
        <v>9.4</v>
      </c>
      <c r="AS296" s="11"/>
      <c r="AT296" s="11"/>
      <c r="AU296" s="11"/>
      <c r="AV296" s="33">
        <v>21</v>
      </c>
      <c r="AW296" s="5">
        <f>IF(AV296=0,AS296/6*(AT296+AU296*4),AV296)</f>
        <v>21</v>
      </c>
      <c r="AX296" s="11">
        <v>0.65</v>
      </c>
      <c r="AY296" s="5">
        <f>IF(AX296&lt;0.149*M296+0.329,1,AX296/(0.149*M296+0.329))</f>
        <v>1</v>
      </c>
      <c r="AZ296" s="5">
        <f>IF(AW296*AY296&gt;AL296,(AW296*AY296-AL296)/4,0)</f>
        <v>3.175</v>
      </c>
      <c r="BA296" s="12">
        <f>0.401+0.1831*(2*AR296^2/(AH296+AP296+AZ296))-0.02016*(2*AR296^2/(AH296+AP296+AZ296))^2+0.0007472*(2*AR296^2/(AH296+AP296+AZ296))^3</f>
        <v>0.9316977562023587</v>
      </c>
      <c r="BB296" s="3"/>
      <c r="BC296" s="3"/>
      <c r="BD296" s="3"/>
      <c r="BE296" s="3"/>
      <c r="BF296" s="33">
        <v>0</v>
      </c>
      <c r="BG296" s="5">
        <f>IF(BF296=0,(BC296+BD296)*(BB296/12+BE296/3),BF296)</f>
        <v>0</v>
      </c>
      <c r="BH296" s="5">
        <f>IF(BG296*AY296&gt;AL296+AZ296,BG296*AY296-AL296-AZ296,0)</f>
        <v>0</v>
      </c>
      <c r="BI296" s="5">
        <f>IF(M296/1.6&lt;8,ROUND(M296/1.6,0),8)</f>
        <v>4</v>
      </c>
      <c r="BJ296" s="5">
        <f>(AH296+AP296+AZ296)*BA296+0.1*BH296</f>
        <v>28.16578218865103</v>
      </c>
      <c r="BK296" s="11">
        <v>1.24</v>
      </c>
      <c r="BL296" s="5">
        <f>M296*0.2</f>
        <v>1.39</v>
      </c>
      <c r="BM296" s="5">
        <f>ROUNDDOWN(M296/2.13,0)</f>
        <v>3</v>
      </c>
      <c r="BN296" s="12">
        <f>M296/4.26</f>
        <v>1.631455399061033</v>
      </c>
      <c r="BO296" s="5">
        <f>IF(M296&lt;8,1.22,IF(M296&lt;15.2,0.108333*M296+0.353,2))</f>
        <v>1.22</v>
      </c>
      <c r="BP296" s="12">
        <f>IF(BK296&lt;BO296,1+0.3*(BO296-BK296)/M296,1)</f>
        <v>1</v>
      </c>
      <c r="BQ296" s="39">
        <v>4</v>
      </c>
      <c r="BR296" s="39">
        <v>1</v>
      </c>
      <c r="BS296" t="s" s="24">
        <v>154</v>
      </c>
      <c r="BT296" s="36"/>
      <c r="BU296" s="36"/>
      <c r="BV296" s="5">
        <f>IF(BQ296&lt;(M296/0.3048)^0.5,1,IF(BU296="x",1-BR296*0.02,IF(BT296="x",1-BR296*0.01,1)))</f>
        <v>1</v>
      </c>
      <c r="BW296" s="12">
        <f>IF(K296="x",MIN(1.315,1.28+U296*N296/BJ296/AR296/1100),IF(L296="x",1.28,MAX(1.245,1.28-U296*N296/BJ296/AR296/1100)))</f>
        <v>1.298391384747434</v>
      </c>
      <c r="BX296" s="41">
        <f>BW296*T296*BV296*BP296*N296^0.3*BJ296^0.4/V296^0.325</f>
        <v>0.9857704967881865</v>
      </c>
      <c r="BY296" s="29"/>
      <c r="BZ296" s="29"/>
      <c r="CA296" s="3"/>
      <c r="CB296" s="3"/>
      <c r="CC296" s="3"/>
      <c r="CD296" s="3"/>
      <c r="CE296" s="3"/>
      <c r="CF296" s="3"/>
      <c r="CG296" t="s" s="30">
        <f>A296</f>
        <v>1803</v>
      </c>
    </row>
    <row r="297" ht="12.75" customHeight="1">
      <c r="A297" t="s" s="25">
        <v>1804</v>
      </c>
      <c r="B297" t="s" s="19">
        <v>1805</v>
      </c>
      <c r="C297" t="s" s="19">
        <v>304</v>
      </c>
      <c r="D297" t="s" s="19">
        <v>305</v>
      </c>
      <c r="E297" t="s" s="19">
        <v>1806</v>
      </c>
      <c r="F297" s="3"/>
      <c r="G297" s="3"/>
      <c r="H297" s="32"/>
      <c r="I297" s="32"/>
      <c r="J297" t="s" s="24">
        <v>154</v>
      </c>
      <c r="K297" s="36"/>
      <c r="L297" s="36"/>
      <c r="M297" s="11">
        <v>11.6</v>
      </c>
      <c r="N297" s="5">
        <v>11.47</v>
      </c>
      <c r="O297" s="11"/>
      <c r="P297" s="11">
        <v>0.95</v>
      </c>
      <c r="Q297" s="37"/>
      <c r="R297" s="36"/>
      <c r="S297" s="36"/>
      <c r="T297" s="38">
        <f>IF(S297&gt;0,1.048,IF(R297&gt;0,1.048,IF(Q297&gt;0,1.036,0.907+1.55*(P297/N297)-4.449*(P297/N297)^2)))</f>
        <v>1.004858501272034</v>
      </c>
      <c r="U297" s="39">
        <v>5500</v>
      </c>
      <c r="V297" s="40">
        <f>IF(H297="x",75+U297,IF(M297&lt;6.66,150+U297,-1.7384*M297^2+92.38*M297-388+U297))</f>
        <v>5949.688896</v>
      </c>
      <c r="W297" s="5"/>
      <c r="X297" s="5"/>
      <c r="Y297" s="5"/>
      <c r="Z297" s="5"/>
      <c r="AA297" s="5"/>
      <c r="AB297" s="5"/>
      <c r="AC297" s="5">
        <v>16</v>
      </c>
      <c r="AD297" s="33">
        <v>50</v>
      </c>
      <c r="AE297" s="5">
        <f>IF(AD297=0,(W297+4*X297+2*Y297+4*Z297+AA297)*AC297/12+W297*AB297/1.5,AD297)</f>
        <v>50</v>
      </c>
      <c r="AF297" s="11">
        <v>17.5</v>
      </c>
      <c r="AG297" s="11"/>
      <c r="AH297" s="5">
        <f>IF(AC297=0,AE297+AF297*AG297/2,AE297+AC297*AG297/2)</f>
        <v>50</v>
      </c>
      <c r="AI297" s="5">
        <v>15.3</v>
      </c>
      <c r="AJ297" s="3"/>
      <c r="AK297" s="33">
        <v>38</v>
      </c>
      <c r="AL297" s="5">
        <f>IF(AK297=0,AI297*AJ297/2,AK297)</f>
        <v>38</v>
      </c>
      <c r="AM297" s="3"/>
      <c r="AN297" s="5"/>
      <c r="AO297" s="5"/>
      <c r="AP297" s="5">
        <f>AL297+AI297*(AN297-AO297)/2</f>
        <v>38</v>
      </c>
      <c r="AQ297" s="5">
        <f>0.1*(AE297+AL297)</f>
        <v>8.800000000000001</v>
      </c>
      <c r="AR297" s="11">
        <v>16.3</v>
      </c>
      <c r="AS297" s="11"/>
      <c r="AT297" s="11"/>
      <c r="AU297" s="11"/>
      <c r="AV297" s="33"/>
      <c r="AW297" s="5">
        <f>IF(AV297=0,AS297/6*(AT297+AU297*4),AV297)</f>
        <v>0</v>
      </c>
      <c r="AX297" s="11">
        <v>0</v>
      </c>
      <c r="AY297" s="5">
        <f>IF(AX297&lt;0.149*M297+0.329,1,AX297/(0.149*M297+0.329))</f>
        <v>1</v>
      </c>
      <c r="AZ297" s="5">
        <f>IF(AW297*AY297&gt;AL297,(AW297*AY297-AL297)/4,0)</f>
        <v>0</v>
      </c>
      <c r="BA297" s="12">
        <f>0.401+0.1831*(2*AR297^2/(AH297+AP297+AZ297))-0.02016*(2*AR297^2/(AH297+AP297+AZ297))^2+0.0007472*(2*AR297^2/(AH297+AP297+AZ297))^3</f>
        <v>0.9360656414930543</v>
      </c>
      <c r="BB297" s="3"/>
      <c r="BC297" s="3"/>
      <c r="BD297" s="3"/>
      <c r="BE297" s="3"/>
      <c r="BF297" s="33">
        <v>60</v>
      </c>
      <c r="BG297" s="5">
        <f>IF(BF297=0,(BC297+BD297)*(BB297/12+BE297/3),BF297)</f>
        <v>60</v>
      </c>
      <c r="BH297" s="5">
        <f>IF(BG297*AY297&gt;AL297+AZ297,BG297*AY297-AL297-AZ297,0)</f>
        <v>22</v>
      </c>
      <c r="BI297" s="5">
        <f>IF(M297/1.6&lt;8,ROUND(M297/1.6,0),8)</f>
        <v>7</v>
      </c>
      <c r="BJ297" s="5">
        <f>(AH297+AP297+AZ297)*BA297+0.1*BH297</f>
        <v>84.57377645138878</v>
      </c>
      <c r="BK297" s="11">
        <v>2</v>
      </c>
      <c r="BL297" s="5">
        <f>M297*0.2</f>
        <v>2.32</v>
      </c>
      <c r="BM297" s="5">
        <f>ROUNDDOWN(M297/2.13,0)</f>
        <v>5</v>
      </c>
      <c r="BN297" s="12">
        <f>M297/4.26</f>
        <v>2.723004694835681</v>
      </c>
      <c r="BO297" s="5">
        <f>IF(M297&lt;8,1.22,IF(M297&lt;15.2,0.108333*M297+0.353,2))</f>
        <v>1.6096628</v>
      </c>
      <c r="BP297" s="12">
        <f>IF(BK297&lt;BO297,1+0.3*(BO297-BK297)/M297,1)</f>
        <v>1</v>
      </c>
      <c r="BQ297" s="39">
        <v>8</v>
      </c>
      <c r="BR297" s="39">
        <v>2</v>
      </c>
      <c r="BS297" s="36"/>
      <c r="BT297" s="36"/>
      <c r="BU297" t="s" s="24">
        <v>154</v>
      </c>
      <c r="BV297" s="5">
        <f>IF(BQ297&lt;(M297/0.3048)^0.5,1,IF(BU297="x",1-BR297*0.02,IF(BT297="x",1-BR297*0.01,1)))</f>
        <v>0.96</v>
      </c>
      <c r="BW297" s="12">
        <f>IF(K297="x",MIN(1.315,1.28+U297*N297/BJ297/AR297/1100),IF(L297="x",1.28,MAX(1.245,1.28-U297*N297/BJ297/AR297/1100)))</f>
        <v>1.245</v>
      </c>
      <c r="BX297" s="41">
        <f>BW297*T297*BV297*BP297*N297^0.3*BJ297^0.4/V297^0.325</f>
        <v>0.8741745861913418</v>
      </c>
      <c r="BY297" s="44">
        <v>17.5</v>
      </c>
      <c r="BZ297" s="48"/>
      <c r="CA297" t="s" s="19">
        <v>162</v>
      </c>
      <c r="CB297" t="s" s="19">
        <v>163</v>
      </c>
      <c r="CC297" t="s" s="19">
        <v>164</v>
      </c>
      <c r="CD297" s="3"/>
      <c r="CE297" s="3"/>
      <c r="CF297" s="3"/>
      <c r="CG297" t="s" s="30">
        <f>A297</f>
        <v>1807</v>
      </c>
    </row>
    <row r="298" ht="12.75" customHeight="1">
      <c r="A298" t="s" s="25">
        <v>1808</v>
      </c>
      <c r="B298" t="s" s="19">
        <v>1809</v>
      </c>
      <c r="C298" t="s" s="19">
        <v>213</v>
      </c>
      <c r="D298" t="s" s="19">
        <v>1810</v>
      </c>
      <c r="E298" t="s" s="19">
        <v>1811</v>
      </c>
      <c r="F298" s="3"/>
      <c r="G298" t="s" s="19">
        <v>1812</v>
      </c>
      <c r="H298" s="56"/>
      <c r="I298" s="56"/>
      <c r="J298" s="57"/>
      <c r="K298" t="s" s="58">
        <v>154</v>
      </c>
      <c r="L298" s="57"/>
      <c r="M298" s="59">
        <v>9.16</v>
      </c>
      <c r="N298" s="60">
        <v>9.16</v>
      </c>
      <c r="O298" s="59">
        <v>7.6</v>
      </c>
      <c r="P298" s="59"/>
      <c r="Q298" s="89"/>
      <c r="R298" s="77">
        <v>2</v>
      </c>
      <c r="S298" s="57"/>
      <c r="T298" s="63">
        <f>IF(S298&gt;0,1.048,IF(R298&gt;0,1.048,IF(Q298&gt;0,1.036,0.907+1.55*(P298/N298)-4.449*(P298/N298)^2)))</f>
        <v>1.048</v>
      </c>
      <c r="U298" s="62">
        <v>1646</v>
      </c>
      <c r="V298" s="64">
        <f>IF(H298="x",75+U298,IF(M298&lt;6.66,150+U298,-1.7384*M298^2+92.38*M298-388+U298))</f>
        <v>1958.33930496</v>
      </c>
      <c r="W298" s="60">
        <v>4.19</v>
      </c>
      <c r="X298" s="60">
        <v>3.965</v>
      </c>
      <c r="Y298" s="60">
        <v>3.635</v>
      </c>
      <c r="Z298" s="60">
        <v>2.96</v>
      </c>
      <c r="AA298" s="60">
        <v>1.38</v>
      </c>
      <c r="AB298" s="60">
        <v>0.25</v>
      </c>
      <c r="AC298" s="60">
        <v>13.06</v>
      </c>
      <c r="AD298" s="65"/>
      <c r="AE298" s="60">
        <f>IF(AD298=0,(W298+4*X298+2*Y298+4*Z298+AA298)*AC298/12+W298*AB298/1.5,AD298)</f>
        <v>44.81936666666667</v>
      </c>
      <c r="AF298" s="59"/>
      <c r="AG298" s="59">
        <v>0.6</v>
      </c>
      <c r="AH298" s="60">
        <f>IF(AC298=0,AE298+AF298*AG298/2,AE298+AC298*AG298/2)</f>
        <v>48.73736666666667</v>
      </c>
      <c r="AI298" s="60">
        <v>11.32</v>
      </c>
      <c r="AJ298" s="60">
        <v>3</v>
      </c>
      <c r="AK298" s="65"/>
      <c r="AL298" s="60">
        <f>IF(AK298=0,AI298*AJ298/2,AK298)</f>
        <v>16.98</v>
      </c>
      <c r="AM298" t="s" s="54">
        <v>154</v>
      </c>
      <c r="AN298" s="60"/>
      <c r="AO298" s="60"/>
      <c r="AP298" s="60">
        <f>AL298+AI298*(AN298-AO298)/2</f>
        <v>16.98</v>
      </c>
      <c r="AQ298" s="60">
        <f>0.1*(AE298+AL298)</f>
        <v>6.179936666666667</v>
      </c>
      <c r="AR298" s="59">
        <v>13.8</v>
      </c>
      <c r="AS298" s="59"/>
      <c r="AT298" s="59"/>
      <c r="AU298" s="59"/>
      <c r="AV298" s="65">
        <f>0.409*13.26*(3.525+6.81/2)</f>
        <v>37.58374619999999</v>
      </c>
      <c r="AW298" s="5">
        <f>IF(AV298=0,AS298/6*(AT298+AU298*4),AV298)</f>
        <v>37.58374619999999</v>
      </c>
      <c r="AX298" s="59">
        <v>2.18</v>
      </c>
      <c r="AY298" s="60">
        <f>IF(AX298&lt;0.149*M298+0.329,1,AX298/(0.149*M298+0.329))</f>
        <v>1.287016483256978</v>
      </c>
      <c r="AZ298" s="5">
        <f>IF(AW298*AY298&gt;AL298,(AW298*AY298-AL298)/4,0)</f>
        <v>7.847725215486704</v>
      </c>
      <c r="BA298" s="66">
        <f>0.401+0.1831*(2*AR298^2/(AH298+AP298+AZ298))-0.02016*(2*AR298^2/(AH298+AP298+AZ298))^2+0.0007472*(2*AR298^2/(AH298+AP298+AZ298))^3</f>
        <v>0.9122839572708368</v>
      </c>
      <c r="BB298" s="5">
        <v>7.56</v>
      </c>
      <c r="BC298" s="5">
        <v>14.75</v>
      </c>
      <c r="BD298" s="5">
        <v>12.85</v>
      </c>
      <c r="BE298" s="5">
        <v>6.85</v>
      </c>
      <c r="BF298" s="65"/>
      <c r="BG298" s="60">
        <f>IF(BF298=0,(BC298+BD298)*(BB298/12+BE298/3),BF298)</f>
        <v>80.408</v>
      </c>
      <c r="BH298" s="60">
        <f>IF(BG298*AY298&gt;AL298+AZ298,BG298*AY298-AL298-AZ298,0)</f>
        <v>78.6586961702404</v>
      </c>
      <c r="BI298" s="60">
        <f>IF(M298/1.6&lt;8,ROUND(M298/1.6,0),8)</f>
        <v>6</v>
      </c>
      <c r="BJ298" s="60">
        <f>(AH298+AP298+AZ298)*BA298+0.1*BH298</f>
        <v>74.97812275626762</v>
      </c>
      <c r="BK298" s="59">
        <v>1.44</v>
      </c>
      <c r="BL298" s="60">
        <f>M298*0.2</f>
        <v>1.832</v>
      </c>
      <c r="BM298" s="60">
        <f>ROUNDDOWN(M298/2.13,0)</f>
        <v>4</v>
      </c>
      <c r="BN298" s="66">
        <f>M298/4.26</f>
        <v>2.150234741784038</v>
      </c>
      <c r="BO298" s="60">
        <f>IF(M298&lt;8,1.22,IF(M298&lt;15.2,0.108333*M298+0.353,2))</f>
        <v>1.34533028</v>
      </c>
      <c r="BP298" s="66">
        <f>IF(BK298&lt;BO298,1+0.3*(BO298-BK298)/M298,1)</f>
        <v>1</v>
      </c>
      <c r="BQ298" s="56"/>
      <c r="BR298" s="56"/>
      <c r="BS298" t="s" s="58">
        <v>154</v>
      </c>
      <c r="BT298" s="57"/>
      <c r="BU298" s="57"/>
      <c r="BV298" s="60">
        <f>IF(BQ298&lt;(M298/0.3048)^0.5,1,IF(BU298="x",1-BR298*0.02,IF(BT298="x",1-BR298*0.01,1)))</f>
        <v>1</v>
      </c>
      <c r="BW298" s="66">
        <f>IF(K298="x",MIN(1.315,1.28+U298*N298/BJ298/AR298/1100),IF(L298="x",1.28,MAX(1.245,1.28-U298*N298/BJ298/AR298/1100)))</f>
        <v>1.293247043739705</v>
      </c>
      <c r="BX298" s="67">
        <f>BW298*T298*BV298*BP298*N298^0.3*BJ298^0.4/V298^0.325</f>
        <v>1.261019096564046</v>
      </c>
      <c r="BY298" s="48"/>
      <c r="BZ298" s="48"/>
      <c r="CA298" t="s" s="54">
        <v>589</v>
      </c>
      <c r="CB298" s="83">
        <v>38443</v>
      </c>
      <c r="CC298" t="s" s="88">
        <v>254</v>
      </c>
      <c r="CD298" s="3"/>
      <c r="CE298" s="3"/>
      <c r="CF298" s="3"/>
      <c r="CG298" t="s" s="30">
        <f>A298</f>
        <v>1813</v>
      </c>
    </row>
    <row r="299" ht="12.75" customHeight="1">
      <c r="A299" t="s" s="30">
        <v>1814</v>
      </c>
      <c r="B299" s="4"/>
      <c r="C299" t="s" s="19">
        <v>1815</v>
      </c>
      <c r="D299" s="3"/>
      <c r="E299" s="3"/>
      <c r="F299" s="4"/>
      <c r="G299" s="4"/>
      <c r="H299" s="32"/>
      <c r="I299" s="32"/>
      <c r="J299" s="32"/>
      <c r="K299" t="s" s="20">
        <v>154</v>
      </c>
      <c r="L299" s="32"/>
      <c r="M299" s="11">
        <v>13.41</v>
      </c>
      <c r="N299" s="15">
        <v>12.8</v>
      </c>
      <c r="O299" s="11">
        <v>7.93</v>
      </c>
      <c r="P299" s="11"/>
      <c r="Q299" s="11"/>
      <c r="R299" t="s" s="20">
        <v>1816</v>
      </c>
      <c r="S299" s="32"/>
      <c r="T299" s="38">
        <f>IF(S299&gt;0,1.048,IF(R299&gt;0,1.048,IF(Q299&gt;0,1.036,0.907+1.55*(P299/N299)-4.449*(P299/N299)^2)))</f>
        <v>1.048</v>
      </c>
      <c r="U299" s="39">
        <v>3200</v>
      </c>
      <c r="V299" s="45">
        <f>IF(H299="x",75+U299,IF(M299&lt;6.66,150+U299,-1.7384*M299^2+92.38*M299-388+U299))</f>
        <v>3738.20263096</v>
      </c>
      <c r="W299" s="11"/>
      <c r="X299" s="11"/>
      <c r="Y299" s="11"/>
      <c r="Z299" s="11"/>
      <c r="AA299" s="11"/>
      <c r="AB299" s="11"/>
      <c r="AC299" s="11"/>
      <c r="AD299" s="33">
        <v>46</v>
      </c>
      <c r="AE299" s="5">
        <f>IF(AD299=0,(W299+4*X299+2*Y299+4*Z299+AA299)*AC299/12+W299*AB299/1.5,AD299)</f>
        <v>46</v>
      </c>
      <c r="AF299" s="11">
        <v>14.7</v>
      </c>
      <c r="AG299" s="11"/>
      <c r="AH299" s="5">
        <f>IF(AC299=0,AE299+AF299*AG299/2,AE299+AC299*AG299/2)</f>
        <v>46</v>
      </c>
      <c r="AI299" s="11"/>
      <c r="AJ299" s="11"/>
      <c r="AK299" s="33">
        <v>35</v>
      </c>
      <c r="AL299" s="5">
        <f>IF(AK299=0,AI299*AJ299/2,AK299)</f>
        <v>35</v>
      </c>
      <c r="AM299" s="32"/>
      <c r="AN299" s="11"/>
      <c r="AO299" s="11"/>
      <c r="AP299" s="5">
        <f>AL299+AI299*(AN299-AO299)/2</f>
        <v>35</v>
      </c>
      <c r="AQ299" s="5">
        <f>0.1*(AE299+AL299)</f>
        <v>8.1</v>
      </c>
      <c r="AR299" s="11">
        <v>14.7</v>
      </c>
      <c r="AS299" s="11"/>
      <c r="AT299" s="11"/>
      <c r="AU299" s="11"/>
      <c r="AV299" s="33"/>
      <c r="AW299" s="5">
        <f>IF(AV299=0,AS299/6*(AT299+AU299*4),AV299)</f>
        <v>0</v>
      </c>
      <c r="AX299" s="11"/>
      <c r="AY299" s="5">
        <f>IF(AX299&lt;0.149*M299+0.329,1,AX299/(0.149*M299+0.329))</f>
        <v>1</v>
      </c>
      <c r="AZ299" s="5">
        <f>IF(AW299*AY299&gt;AL299,(AW299*AY299-AL299)/4,0)</f>
        <v>0</v>
      </c>
      <c r="BA299" s="12">
        <f>0.401+0.1831*(2*AR299^2/(AH299+AP299+AZ299))-0.02016*(2*AR299^2/(AH299+AP299+AZ299))^2+0.0007472*(2*AR299^2/(AH299+AP299+AZ299))^3</f>
        <v>0.9175170137128912</v>
      </c>
      <c r="BB299" s="11"/>
      <c r="BC299" s="11"/>
      <c r="BD299" s="11"/>
      <c r="BE299" s="11"/>
      <c r="BF299" s="33"/>
      <c r="BG299" s="5">
        <f>IF(BF299=0,(BC299+BD299)*(BB299/12+BE299/3),BF299)</f>
        <v>0</v>
      </c>
      <c r="BH299" s="5">
        <f>IF(BG299*AY299&gt;AL299+AZ299,BG299*AY299-AL299-AZ299,0)</f>
        <v>0</v>
      </c>
      <c r="BI299" s="69">
        <f>IF(M299/1.6&lt;8,ROUND(M299/1.6,0),8)</f>
        <v>8</v>
      </c>
      <c r="BJ299" s="15">
        <f>(AH299+AP299+AZ299)*BA299+0.1*BH299</f>
        <v>74.31887811074418</v>
      </c>
      <c r="BK299" s="11">
        <v>1.8</v>
      </c>
      <c r="BL299" s="5">
        <f>M299*0.2</f>
        <v>2.682</v>
      </c>
      <c r="BM299" s="5">
        <f>ROUNDDOWN(M299/2.13,0)</f>
        <v>6</v>
      </c>
      <c r="BN299" s="12">
        <f>M299/4.26</f>
        <v>3.147887323943662</v>
      </c>
      <c r="BO299" s="5">
        <f>IF(M299&lt;8,1.22,IF(M299&lt;15.2,0.108333*M299+0.353,2))</f>
        <v>1.80574553</v>
      </c>
      <c r="BP299" s="7">
        <f>IF(BK299&lt;BO299,1+0.3*(BO299-BK299)/M299,1)</f>
        <v>1.000128535346756</v>
      </c>
      <c r="BQ299" s="39">
        <v>6</v>
      </c>
      <c r="BR299" s="39">
        <v>1</v>
      </c>
      <c r="BS299" t="s" s="24">
        <v>154</v>
      </c>
      <c r="BT299" s="32"/>
      <c r="BU299" s="32"/>
      <c r="BV299" s="15">
        <f>IF(BQ299&lt;(M299/0.3048)^0.5,1,IF(BU299="x",1-BR299*0.02,IF(BT299="x",1-BR299*0.01,1)))</f>
        <v>1</v>
      </c>
      <c r="BW299" s="7">
        <f>IF(K299="x",MIN(1.315,1.28+U299*N299/BJ299/AR299/1100),IF(L299="x",1.28,MAX(1.245,1.28-U299*N299/BJ299/AR299/1100)))</f>
        <v>1.314084017763061</v>
      </c>
      <c r="BX299" s="41">
        <f>BW299*T299*BV299*BP299*N299^0.3*BJ299^0.4/V299^0.325</f>
        <v>1.144267230745341</v>
      </c>
      <c r="BY299" s="29"/>
      <c r="BZ299" s="29"/>
      <c r="CA299" t="s" s="31">
        <v>638</v>
      </c>
      <c r="CB299" t="s" s="31">
        <v>639</v>
      </c>
      <c r="CC299" t="s" s="13">
        <v>93</v>
      </c>
      <c r="CD299" t="s" s="19">
        <v>640</v>
      </c>
      <c r="CE299" s="3"/>
      <c r="CF299" s="3"/>
      <c r="CG299" t="s" s="30">
        <f>A299</f>
        <v>1817</v>
      </c>
    </row>
    <row r="300" ht="12.75" customHeight="1">
      <c r="A300" t="s" s="25">
        <v>1818</v>
      </c>
      <c r="B300" t="s" s="19">
        <v>708</v>
      </c>
      <c r="C300" t="s" s="19">
        <v>709</v>
      </c>
      <c r="D300" t="s" s="19">
        <v>710</v>
      </c>
      <c r="E300" s="3"/>
      <c r="F300" s="3"/>
      <c r="G300" s="3"/>
      <c r="H300" s="32"/>
      <c r="I300" s="32"/>
      <c r="J300" s="36"/>
      <c r="K300" t="s" s="24">
        <v>154</v>
      </c>
      <c r="L300" s="36"/>
      <c r="M300" s="11">
        <v>7.99</v>
      </c>
      <c r="N300" s="5">
        <v>7.99</v>
      </c>
      <c r="O300" s="11"/>
      <c r="P300" s="11"/>
      <c r="Q300" s="37"/>
      <c r="R300" t="s" s="24">
        <v>161</v>
      </c>
      <c r="S300" s="36"/>
      <c r="T300" s="38">
        <f>IF(S300&gt;0,1.048,IF(R300&gt;0,1.048,IF(Q300&gt;0,1.036,0.907+1.55*(P300/N300)-4.449*(P300/N300)^2)))</f>
        <v>1.048</v>
      </c>
      <c r="U300" s="39">
        <v>1346</v>
      </c>
      <c r="V300" s="40">
        <f>IF(H300="x",75+U300,IF(M300&lt;6.66,150+U300,-1.7384*M300^2+92.38*M300-388+U300))</f>
        <v>1585.13657016</v>
      </c>
      <c r="W300" s="5"/>
      <c r="X300" s="5"/>
      <c r="Y300" s="5"/>
      <c r="Z300" s="5"/>
      <c r="AA300" s="5"/>
      <c r="AB300" s="5"/>
      <c r="AC300" s="5"/>
      <c r="AD300" s="33">
        <v>29.69</v>
      </c>
      <c r="AE300" s="5">
        <f>IF(AD300=0,(W300+4*X300+2*Y300+4*Z300+AA300)*AC300/12+W300*AB300/1.5,AD300)</f>
        <v>29.69</v>
      </c>
      <c r="AF300" s="11"/>
      <c r="AG300" s="11"/>
      <c r="AH300" s="5">
        <f>IF(AC300=0,AE300+AF300*AG300/2,AE300+AC300*AG300/2)</f>
        <v>29.69</v>
      </c>
      <c r="AI300" s="3"/>
      <c r="AJ300" s="3"/>
      <c r="AK300" s="33">
        <v>9.880000000000001</v>
      </c>
      <c r="AL300" s="5">
        <f>IF(AK300=0,AI300*AJ300/2,AK300)</f>
        <v>9.880000000000001</v>
      </c>
      <c r="AM300" s="3"/>
      <c r="AN300" s="5"/>
      <c r="AO300" s="5"/>
      <c r="AP300" s="5">
        <f>AL300+AI300*(AN300-AO300)/2</f>
        <v>9.880000000000001</v>
      </c>
      <c r="AQ300" s="5">
        <f>0.1*(AE300+AL300)</f>
        <v>3.957</v>
      </c>
      <c r="AR300" s="11">
        <v>12</v>
      </c>
      <c r="AS300" s="11"/>
      <c r="AT300" s="11"/>
      <c r="AU300" s="11"/>
      <c r="AV300" s="33"/>
      <c r="AW300" s="5">
        <f>IF(AV300=0,AS300/6*(AT300+AU300*4),AV300)</f>
        <v>0</v>
      </c>
      <c r="AX300" s="11"/>
      <c r="AY300" s="5">
        <f>IF(AX300&lt;0.149*M300+0.329,1,AX300/(0.149*M300+0.329))</f>
        <v>1</v>
      </c>
      <c r="AZ300" s="5">
        <f>IF(AW300*AY300&gt;AL300,(AW300*AY300-AL300)/4,0)</f>
        <v>0</v>
      </c>
      <c r="BA300" s="12">
        <f>0.401+0.1831*(2*AR300^2/(AH300+AP300+AZ300))-0.02016*(2*AR300^2/(AH300+AP300+AZ300))^2+0.0007472*(2*AR300^2/(AH300+AP300+AZ300))^3</f>
        <v>0.9537964638266767</v>
      </c>
      <c r="BB300" s="3"/>
      <c r="BC300" s="3"/>
      <c r="BD300" s="3"/>
      <c r="BE300" s="3"/>
      <c r="BF300" s="33">
        <v>47.56</v>
      </c>
      <c r="BG300" s="5">
        <f>IF(BF300=0,(BC300+BD300)*(BB300/12+BE300/3),BF300)</f>
        <v>47.56</v>
      </c>
      <c r="BH300" s="5">
        <f>IF(BG300*AY300&gt;AL300+AZ300,BG300*AY300-AL300-AZ300,0)</f>
        <v>37.68</v>
      </c>
      <c r="BI300" s="5">
        <f>IF(M300/1.6&lt;8,ROUND(M300/1.6,0),8)</f>
        <v>5</v>
      </c>
      <c r="BJ300" s="5">
        <f>(AH300+AP300+AZ300)*BA300+0.1*BH300</f>
        <v>41.5097260736216</v>
      </c>
      <c r="BK300" s="11">
        <v>1.9</v>
      </c>
      <c r="BL300" s="5">
        <f>M300*0.2</f>
        <v>1.598</v>
      </c>
      <c r="BM300" s="5">
        <f>ROUNDDOWN(M300/2.13,0)</f>
        <v>3</v>
      </c>
      <c r="BN300" s="12">
        <f>M300/4.26</f>
        <v>1.875586854460094</v>
      </c>
      <c r="BO300" s="5">
        <f>IF(M300&lt;8,1.22,IF(M300&lt;15.2,0.108333*M300+0.353,2))</f>
        <v>1.22</v>
      </c>
      <c r="BP300" s="12">
        <f>IF(BK300&lt;BO300,1+0.3*(BO300-BK300)/M300,1)</f>
        <v>1</v>
      </c>
      <c r="BQ300" s="32"/>
      <c r="BR300" s="39">
        <v>0</v>
      </c>
      <c r="BS300" t="s" s="24">
        <v>154</v>
      </c>
      <c r="BT300" s="36"/>
      <c r="BU300" s="36"/>
      <c r="BV300" s="5">
        <f>IF(BQ300&lt;(M300/0.3048)^0.5,1,IF(BU300="x",1-BR300*0.02,IF(BT300="x",1-BR300*0.01,1)))</f>
        <v>1</v>
      </c>
      <c r="BW300" s="12">
        <f>IF(K300="x",MIN(1.315,1.28+U300*N300/BJ300/AR300/1100),IF(L300="x",1.28,MAX(1.245,1.28-U300*N300/BJ300/AR300/1100)))</f>
        <v>1.299627638046632</v>
      </c>
      <c r="BX300" s="41">
        <f>BW300*T300*BV300*BP300*N300^0.3*BJ300^0.4/V300^0.325</f>
        <v>1.02844845276552</v>
      </c>
      <c r="BY300" s="29"/>
      <c r="BZ300" s="29"/>
      <c r="CA300" t="s" s="19">
        <v>162</v>
      </c>
      <c r="CB300" s="42">
        <v>1997</v>
      </c>
      <c r="CC300" t="s" s="19">
        <v>164</v>
      </c>
      <c r="CD300" s="3"/>
      <c r="CE300" s="3"/>
      <c r="CF300" s="3"/>
      <c r="CG300" t="s" s="30">
        <f>A300</f>
        <v>1819</v>
      </c>
    </row>
    <row r="301" ht="12.75" customHeight="1">
      <c r="A301" t="s" s="25">
        <v>1820</v>
      </c>
      <c r="B301" t="s" s="19">
        <v>513</v>
      </c>
      <c r="C301" t="s" s="19">
        <v>218</v>
      </c>
      <c r="D301" t="s" s="19">
        <v>514</v>
      </c>
      <c r="E301" t="s" s="19">
        <v>515</v>
      </c>
      <c r="F301" s="3"/>
      <c r="G301" s="3"/>
      <c r="H301" s="32"/>
      <c r="I301" s="32"/>
      <c r="J301" t="s" s="24">
        <v>154</v>
      </c>
      <c r="K301" s="36"/>
      <c r="L301" s="36"/>
      <c r="M301" s="11">
        <v>15.2</v>
      </c>
      <c r="N301" s="5">
        <v>15.24</v>
      </c>
      <c r="O301" s="11">
        <v>8</v>
      </c>
      <c r="P301" s="11"/>
      <c r="Q301" s="37"/>
      <c r="R301" t="s" s="24">
        <v>422</v>
      </c>
      <c r="S301" s="36"/>
      <c r="T301" s="38">
        <f>IF(S301&gt;0,1.048,IF(R301&gt;0,1.048,IF(Q301&gt;0,1.036,0.907+1.55*(P301/N301)-4.449*(P301/N301)^2)))</f>
        <v>1.048</v>
      </c>
      <c r="U301" s="39">
        <v>10000</v>
      </c>
      <c r="V301" s="40">
        <f>IF(H301="x",75+U301,IF(M301&lt;6.66,150+U301,-1.7384*M301^2+92.38*M301-388+U301))</f>
        <v>10614.536064</v>
      </c>
      <c r="W301" s="5"/>
      <c r="X301" s="5"/>
      <c r="Y301" s="5"/>
      <c r="Z301" s="5"/>
      <c r="AA301" s="5"/>
      <c r="AB301" s="5"/>
      <c r="AC301" s="5"/>
      <c r="AD301" s="33">
        <v>70</v>
      </c>
      <c r="AE301" s="5">
        <f>IF(AD301=0,(W301+4*X301+2*Y301+4*Z301+AA301)*AC301/12+W301*AB301/1.5,AD301)</f>
        <v>70</v>
      </c>
      <c r="AF301" s="11">
        <v>19.8</v>
      </c>
      <c r="AG301" s="11"/>
      <c r="AH301" s="5">
        <f>IF(AC301=0,AE301+AF301*AG301/2,AE301+AC301*AG301/2)</f>
        <v>70</v>
      </c>
      <c r="AI301" s="3"/>
      <c r="AJ301" s="3"/>
      <c r="AK301" s="33">
        <v>62</v>
      </c>
      <c r="AL301" s="5">
        <f>IF(AK301=0,AI301*AJ301/2,AK301)</f>
        <v>62</v>
      </c>
      <c r="AM301" s="3"/>
      <c r="AN301" s="5"/>
      <c r="AO301" s="5">
        <v>0.16</v>
      </c>
      <c r="AP301" s="5">
        <f>AL301+AI301*(AN301-AO301)/2</f>
        <v>62</v>
      </c>
      <c r="AQ301" s="5">
        <f>0.1*(AE301+AL301)</f>
        <v>13.2</v>
      </c>
      <c r="AR301" s="11">
        <v>19.8</v>
      </c>
      <c r="AS301" s="11"/>
      <c r="AT301" s="11"/>
      <c r="AU301" s="11"/>
      <c r="AV301" s="33"/>
      <c r="AW301" s="5">
        <f>IF(AV301=0,AS301/6*(AT301+AU301*4),AV301)</f>
        <v>0</v>
      </c>
      <c r="AX301" s="11">
        <v>0.5</v>
      </c>
      <c r="AY301" s="5">
        <f>IF(AX301&lt;0.149*M301+0.329,1,AX301/(0.149*M301+0.329))</f>
        <v>1</v>
      </c>
      <c r="AZ301" s="5">
        <f>IF(AW301*AY301&gt;AL301,(AW301*AY301-AL301)/4,0)</f>
        <v>0</v>
      </c>
      <c r="BA301" s="12">
        <f>0.401+0.1831*(2*AR301^2/(AH301+AP301+AZ301))-0.02016*(2*AR301^2/(AH301+AP301+AZ301))^2+0.0007472*(2*AR301^2/(AH301+AP301+AZ301))^3</f>
        <v>0.9338982251647999</v>
      </c>
      <c r="BB301" s="3"/>
      <c r="BC301" s="3"/>
      <c r="BD301" s="3"/>
      <c r="BE301" s="3"/>
      <c r="BF301" s="33">
        <v>112</v>
      </c>
      <c r="BG301" s="5">
        <f>IF(BF301=0,(BC301+BD301)*(BB301/12+BE301/3),BF301)</f>
        <v>112</v>
      </c>
      <c r="BH301" s="5">
        <f>IF(BG301*AY301&gt;AL301+AZ301,BG301*AY301-AL301-AZ301,0)</f>
        <v>50</v>
      </c>
      <c r="BI301" s="42">
        <f>IF(M301/1.6&lt;8,ROUND(M301/1.6,0),8)</f>
        <v>8</v>
      </c>
      <c r="BJ301" s="5">
        <f>(AH301+AP301+AZ301)*BA301+0.1*BH301</f>
        <v>128.2745657217536</v>
      </c>
      <c r="BK301" s="11">
        <v>1.95</v>
      </c>
      <c r="BL301" s="5">
        <f>M301*0.2</f>
        <v>3.04</v>
      </c>
      <c r="BM301" s="5">
        <f>ROUNDDOWN(M301/2.13,0)</f>
        <v>7</v>
      </c>
      <c r="BN301" s="12">
        <f>M301/4.26</f>
        <v>3.568075117370892</v>
      </c>
      <c r="BO301" s="5">
        <f>IF(M301&lt;8,1.22,IF(M301&lt;15.2,0.108333*M301+0.353,2))</f>
        <v>2</v>
      </c>
      <c r="BP301" s="12">
        <f>IF(BK301&lt;BO301,1+0.3*(BO301-BK301)/M301,1)</f>
        <v>1.000986842105263</v>
      </c>
      <c r="BQ301" s="39">
        <v>9</v>
      </c>
      <c r="BR301" s="39">
        <v>2</v>
      </c>
      <c r="BS301" s="36"/>
      <c r="BT301" t="s" s="24">
        <v>154</v>
      </c>
      <c r="BU301" s="36"/>
      <c r="BV301" s="5">
        <f>IF(BQ301&lt;(M301/0.3048)^0.5,1,IF(BU301="x",1-BR301*0.02,IF(BT301="x",1-BR301*0.01,1)))</f>
        <v>0.98</v>
      </c>
      <c r="BW301" s="12">
        <f>IF(K301="x",MIN(1.315,1.28+U301*N301/BJ301/AR301/1100),IF(L301="x",1.28,MAX(1.245,1.28-U301*N301/BJ301/AR301/1100)))</f>
        <v>1.245</v>
      </c>
      <c r="BX301" s="41">
        <f>BW301*T301*BV301*BP301*N301^0.3*BJ301^0.4/V301^0.325</f>
        <v>0.9929307472149776</v>
      </c>
      <c r="BY301" s="29"/>
      <c r="BZ301" s="29"/>
      <c r="CA301" t="s" s="19">
        <v>188</v>
      </c>
      <c r="CB301" t="s" s="19">
        <v>516</v>
      </c>
      <c r="CC301" t="s" s="19">
        <v>164</v>
      </c>
      <c r="CD301" t="s" s="19">
        <v>517</v>
      </c>
      <c r="CE301" s="3"/>
      <c r="CF301" s="3"/>
      <c r="CG301" t="s" s="30">
        <f>A301</f>
        <v>1821</v>
      </c>
    </row>
    <row r="302" ht="12.75" customHeight="1">
      <c r="A302" t="s" s="25">
        <v>1822</v>
      </c>
      <c r="B302" t="s" s="19">
        <v>227</v>
      </c>
      <c r="C302" t="s" s="19">
        <v>213</v>
      </c>
      <c r="D302" t="s" s="19">
        <v>228</v>
      </c>
      <c r="E302" t="s" s="19">
        <v>1823</v>
      </c>
      <c r="F302" s="3"/>
      <c r="G302" s="3"/>
      <c r="H302" s="32"/>
      <c r="I302" s="32"/>
      <c r="J302" t="s" s="24">
        <v>154</v>
      </c>
      <c r="K302" s="36"/>
      <c r="L302" s="36"/>
      <c r="M302" s="11">
        <v>11.77</v>
      </c>
      <c r="N302" s="5">
        <v>11.75</v>
      </c>
      <c r="O302" s="11">
        <v>6.4</v>
      </c>
      <c r="P302" s="11">
        <v>0.92</v>
      </c>
      <c r="Q302" s="37"/>
      <c r="R302" s="36"/>
      <c r="S302" s="36"/>
      <c r="T302" s="38">
        <f>IF(S302&gt;0,1.048,IF(R302&gt;0,1.048,IF(Q302&gt;0,1.036,0.907+1.55*(P302/N302)-4.449*(P302/N302)^2)))</f>
        <v>1.001086854866456</v>
      </c>
      <c r="U302" s="39">
        <v>4200</v>
      </c>
      <c r="V302" s="40">
        <f>IF(H302="x",75+U302,IF(M302&lt;6.66,150+U302,-1.7384*M302^2+92.38*M302-388+U302))</f>
        <v>4658.48700664</v>
      </c>
      <c r="W302" s="5"/>
      <c r="X302" s="5"/>
      <c r="Y302" s="5"/>
      <c r="Z302" s="5"/>
      <c r="AA302" s="5"/>
      <c r="AB302" s="5"/>
      <c r="AC302" s="5"/>
      <c r="AD302" s="33">
        <v>56</v>
      </c>
      <c r="AE302" s="5">
        <f>IF(AD302=0,(W302+4*X302+2*Y302+4*Z302+AA302)*AC302/12+W302*AB302/1.5,AD302)</f>
        <v>56</v>
      </c>
      <c r="AF302" s="11">
        <v>15</v>
      </c>
      <c r="AG302" s="11"/>
      <c r="AH302" s="5">
        <f>IF(AC302=0,AE302+AF302*AG302/2,AE302+AC302*AG302/2)</f>
        <v>56</v>
      </c>
      <c r="AI302" s="5">
        <v>12.3</v>
      </c>
      <c r="AJ302" s="3"/>
      <c r="AK302" s="33">
        <v>33.3</v>
      </c>
      <c r="AL302" s="5">
        <f>IF(AK302=0,AI302*AJ302/2,AK302)</f>
        <v>33.3</v>
      </c>
      <c r="AM302" s="3"/>
      <c r="AN302" s="5"/>
      <c r="AO302" s="5">
        <v>0.134</v>
      </c>
      <c r="AP302" s="5">
        <f>AL302+AI302*(AN302-AO302)/2</f>
        <v>32.4759</v>
      </c>
      <c r="AQ302" s="5">
        <f>0.1*(AE302+AL302)</f>
        <v>8.93</v>
      </c>
      <c r="AR302" s="11">
        <v>15.3</v>
      </c>
      <c r="AS302" s="11"/>
      <c r="AT302" s="11"/>
      <c r="AU302" s="11"/>
      <c r="AV302" s="33"/>
      <c r="AW302" s="5">
        <f>IF(AV302=0,AS302/6*(AT302+AU302*4),AV302)</f>
        <v>0</v>
      </c>
      <c r="AX302" s="11">
        <v>0</v>
      </c>
      <c r="AY302" s="5">
        <f>IF(AX302&lt;0.149*M302+0.329,1,AX302/(0.149*M302+0.329))</f>
        <v>1</v>
      </c>
      <c r="AZ302" s="5">
        <f>IF(AW302*AY302&gt;AL302,(AW302*AY302-AL302)/4,0)</f>
        <v>0</v>
      </c>
      <c r="BA302" s="12">
        <f>0.401+0.1831*(2*AR302^2/(AH302+AP302+AZ302))-0.02016*(2*AR302^2/(AH302+AP302+AZ302))^2+0.0007472*(2*AR302^2/(AH302+AP302+AZ302))^3</f>
        <v>0.9161043380085719</v>
      </c>
      <c r="BB302" s="3"/>
      <c r="BC302" s="3"/>
      <c r="BD302" s="3"/>
      <c r="BE302" s="3"/>
      <c r="BF302" s="33">
        <v>129</v>
      </c>
      <c r="BG302" s="5">
        <f>IF(BF302=0,(BC302+BD302)*(BB302/12+BE302/3),BF302)</f>
        <v>129</v>
      </c>
      <c r="BH302" s="5">
        <f>IF(BG302*AY302&gt;AL302+AZ302,BG302*AY302-AL302-AZ302,0)</f>
        <v>95.7</v>
      </c>
      <c r="BI302" s="5">
        <f>IF(M302/1.6&lt;8,ROUND(M302/1.6,0),8)</f>
        <v>7</v>
      </c>
      <c r="BJ302" s="5">
        <f>(AH302+AP302+AZ302)*BA302+0.1*BH302</f>
        <v>90.62315579921261</v>
      </c>
      <c r="BK302" s="11">
        <v>1.85</v>
      </c>
      <c r="BL302" s="5">
        <f>M302*0.2</f>
        <v>2.354</v>
      </c>
      <c r="BM302" s="5">
        <f>ROUNDDOWN(M302/2.13,0)</f>
        <v>5</v>
      </c>
      <c r="BN302" s="12">
        <f>M302/4.26</f>
        <v>2.762910798122066</v>
      </c>
      <c r="BO302" s="5">
        <f>IF(M302&lt;8,1.22,IF(M302&lt;15.2,0.108333*M302+0.353,2))</f>
        <v>1.62807941</v>
      </c>
      <c r="BP302" s="12">
        <f>IF(BK302&lt;BO302,1+0.3*(BO302-BK302)/M302,1)</f>
        <v>1</v>
      </c>
      <c r="BQ302" s="39">
        <v>8</v>
      </c>
      <c r="BR302" s="39">
        <v>2</v>
      </c>
      <c r="BS302" s="36"/>
      <c r="BT302" t="s" s="24">
        <v>154</v>
      </c>
      <c r="BU302" s="36"/>
      <c r="BV302" s="5">
        <f>IF(BQ302&lt;(M302/0.3048)^0.5,1,IF(BU302="x",1-BR302*0.02,IF(BT302="x",1-BR302*0.01,1)))</f>
        <v>0.98</v>
      </c>
      <c r="BW302" s="12">
        <f>IF(K302="x",MIN(1.315,1.28+U302*N302/BJ302/AR302/1100),IF(L302="x",1.28,MAX(1.245,1.28-U302*N302/BJ302/AR302/1100)))</f>
        <v>1.247643327042003</v>
      </c>
      <c r="BX302" s="41">
        <f>BW302*T302*BV302*BP302*N302^0.3*BJ302^0.4/V302^0.325</f>
        <v>0.9988855404684089</v>
      </c>
      <c r="BY302" s="44">
        <v>27</v>
      </c>
      <c r="BZ302" s="48"/>
      <c r="CA302" t="s" s="19">
        <v>213</v>
      </c>
      <c r="CB302" t="s" s="19">
        <v>370</v>
      </c>
      <c r="CC302" t="s" s="19">
        <v>614</v>
      </c>
      <c r="CD302" s="3"/>
      <c r="CE302" s="3"/>
      <c r="CF302" s="3"/>
      <c r="CG302" t="s" s="30">
        <f>A302</f>
        <v>1824</v>
      </c>
    </row>
    <row r="303" ht="12.75" customHeight="1">
      <c r="A303" t="s" s="25">
        <v>1825</v>
      </c>
      <c r="B303" t="s" s="19">
        <v>425</v>
      </c>
      <c r="C303" t="s" s="19">
        <v>426</v>
      </c>
      <c r="D303" t="s" s="19">
        <v>427</v>
      </c>
      <c r="E303" t="s" s="19">
        <v>1826</v>
      </c>
      <c r="F303" s="3"/>
      <c r="G303" s="3"/>
      <c r="H303" s="32"/>
      <c r="I303" s="32"/>
      <c r="J303" t="s" s="24">
        <v>154</v>
      </c>
      <c r="K303" s="36"/>
      <c r="L303" s="36"/>
      <c r="M303" s="11">
        <v>8.5</v>
      </c>
      <c r="N303" s="5">
        <v>8.5</v>
      </c>
      <c r="O303" s="11">
        <v>5.2</v>
      </c>
      <c r="P303" s="11"/>
      <c r="Q303" s="37"/>
      <c r="R303" t="s" s="24">
        <v>429</v>
      </c>
      <c r="S303" s="36"/>
      <c r="T303" s="38">
        <f>IF(S303&gt;0,1.048,IF(R303&gt;0,1.048,IF(Q303&gt;0,1.036,0.907+1.55*(P303/N303)-4.449*(P303/N303)^2)))</f>
        <v>1.048</v>
      </c>
      <c r="U303" s="39">
        <v>885</v>
      </c>
      <c r="V303" s="40">
        <f>IF(H303="x",75+U303,IF(M303&lt;6.66,150+U303,-1.7384*M303^2+92.38*M303-388+U303))</f>
        <v>1156.6306</v>
      </c>
      <c r="W303" s="5"/>
      <c r="X303" s="5"/>
      <c r="Y303" s="5"/>
      <c r="Z303" s="5"/>
      <c r="AA303" s="5"/>
      <c r="AB303" s="5"/>
      <c r="AC303" s="5">
        <v>13.8</v>
      </c>
      <c r="AD303" s="33">
        <v>41</v>
      </c>
      <c r="AE303" s="5">
        <f>IF(AD303=0,(W303+4*X303+2*Y303+4*Z303+AA303)*AC303/12+W303*AB303/1.5,AD303)</f>
        <v>41</v>
      </c>
      <c r="AF303" s="11">
        <v>14.7</v>
      </c>
      <c r="AG303" s="11">
        <v>0.6</v>
      </c>
      <c r="AH303" s="5">
        <f>IF(AC303=0,AE303+AF303*AG303/2,AE303+AC303*AG303/2)</f>
        <v>45.14</v>
      </c>
      <c r="AI303" s="5">
        <v>11.5</v>
      </c>
      <c r="AJ303" s="5">
        <v>1.9</v>
      </c>
      <c r="AK303" s="33"/>
      <c r="AL303" s="5">
        <f>IF(AK303=0,AI303*AJ303/2,AK303)</f>
        <v>10.925</v>
      </c>
      <c r="AM303" s="3"/>
      <c r="AN303" s="5"/>
      <c r="AO303" s="5"/>
      <c r="AP303" s="5">
        <f>AL303+AI303*(AN303-AO303)/2</f>
        <v>10.925</v>
      </c>
      <c r="AQ303" s="5">
        <f>0.1*(AE303+AL303)</f>
        <v>5.1925</v>
      </c>
      <c r="AR303" s="11">
        <v>14.7</v>
      </c>
      <c r="AS303" s="11"/>
      <c r="AT303" s="11"/>
      <c r="AU303" s="11"/>
      <c r="AV303" s="33">
        <v>0</v>
      </c>
      <c r="AW303" s="5">
        <f>IF(AV303=0,AS303/6*(AT303+AU303*4),AV303)</f>
        <v>0</v>
      </c>
      <c r="AX303" s="11">
        <v>1.5</v>
      </c>
      <c r="AY303" s="5">
        <f>IF(AX303&lt;0.149*M303+0.329,1,AX303/(0.149*M303+0.329))</f>
        <v>1</v>
      </c>
      <c r="AZ303" s="5">
        <f>IF(AW303*AY303&gt;AL303,(AW303*AY303-AL303)/4,0)</f>
        <v>0</v>
      </c>
      <c r="BA303" s="12">
        <f>0.401+0.1831*(2*AR303^2/(AH303+AP303+AZ303))-0.02016*(2*AR303^2/(AH303+AP303+AZ303))^2+0.0007472*(2*AR303^2/(AH303+AP303+AZ303))^3</f>
        <v>0.9567522311882843</v>
      </c>
      <c r="BB303" s="5">
        <v>6.8</v>
      </c>
      <c r="BC303" s="5">
        <v>13.2</v>
      </c>
      <c r="BD303" s="5">
        <v>11.7</v>
      </c>
      <c r="BE303" s="5">
        <v>5.1</v>
      </c>
      <c r="BF303" s="33"/>
      <c r="BG303" s="5">
        <f>IF(BF303=0,(BC303+BD303)*(BB303/12+BE303/3),BF303)</f>
        <v>56.44</v>
      </c>
      <c r="BH303" s="5">
        <f>IF(BG303*AY303&gt;AL303+AZ303,BG303*AY303-AL303-AZ303,0)</f>
        <v>45.515</v>
      </c>
      <c r="BI303" s="5">
        <f>IF(M303/1.6&lt;8,ROUND(M303/1.6,0),8)</f>
        <v>5</v>
      </c>
      <c r="BJ303" s="5">
        <f>(AH303+AP303+AZ303)*BA303+0.1*BH303</f>
        <v>58.19181384157115</v>
      </c>
      <c r="BK303" s="11">
        <v>1.22</v>
      </c>
      <c r="BL303" s="5">
        <f>M303*0.2</f>
        <v>1.7</v>
      </c>
      <c r="BM303" s="5">
        <f>ROUNDDOWN(M303/2.13,0)</f>
        <v>3</v>
      </c>
      <c r="BN303" s="12">
        <f>M303/4.26</f>
        <v>1.995305164319249</v>
      </c>
      <c r="BO303" s="5">
        <f>IF(M303&lt;8,1.22,IF(M303&lt;15.2,0.108333*M303+0.353,2))</f>
        <v>1.2738305</v>
      </c>
      <c r="BP303" s="12">
        <f>IF(BK303&lt;BO303,1+0.3*(BO303-BK303)/M303,1)</f>
        <v>1.0018999</v>
      </c>
      <c r="BQ303" s="32"/>
      <c r="BR303" s="39">
        <v>0</v>
      </c>
      <c r="BS303" t="s" s="24">
        <v>154</v>
      </c>
      <c r="BT303" s="36"/>
      <c r="BU303" s="36"/>
      <c r="BV303" s="5">
        <f>IF(BQ303&lt;(M303/0.3048)^0.5,1,IF(BU303="x",1-BR303*0.02,IF(BT303="x",1-BR303*0.01,1)))</f>
        <v>1</v>
      </c>
      <c r="BW303" s="12">
        <f>IF(K303="x",MIN(1.315,1.28+U303*N303/BJ303/AR303/1100),IF(L303="x",1.28,MAX(1.245,1.28-U303*N303/BJ303/AR303/1100)))</f>
        <v>1.272005518863236</v>
      </c>
      <c r="BX303" s="41">
        <f>BW303*T303*BV303*BP303*N303^0.3*BJ303^0.4/V303^0.325</f>
        <v>1.302887077624134</v>
      </c>
      <c r="BY303" s="29"/>
      <c r="BZ303" s="48"/>
      <c r="CA303" t="s" s="19">
        <v>213</v>
      </c>
      <c r="CB303" t="s" s="19">
        <v>430</v>
      </c>
      <c r="CC303" t="s" s="19">
        <v>254</v>
      </c>
      <c r="CD303" t="s" s="19">
        <v>1827</v>
      </c>
      <c r="CE303" s="3"/>
      <c r="CF303" s="3"/>
      <c r="CG303" t="s" s="30">
        <f>A303</f>
        <v>1828</v>
      </c>
    </row>
    <row r="304" ht="12.75" customHeight="1">
      <c r="A304" t="s" s="25">
        <v>1829</v>
      </c>
      <c r="B304" t="s" s="19">
        <v>820</v>
      </c>
      <c r="C304" t="s" s="19">
        <v>821</v>
      </c>
      <c r="D304" t="s" s="19">
        <v>822</v>
      </c>
      <c r="E304" t="s" s="19">
        <v>1830</v>
      </c>
      <c r="F304" s="3"/>
      <c r="G304" s="3"/>
      <c r="H304" s="32"/>
      <c r="I304" s="32"/>
      <c r="J304" t="s" s="24">
        <v>154</v>
      </c>
      <c r="K304" s="36"/>
      <c r="L304" s="36"/>
      <c r="M304" s="11">
        <v>8</v>
      </c>
      <c r="N304" s="5">
        <v>7.8</v>
      </c>
      <c r="O304" s="11"/>
      <c r="P304" s="11"/>
      <c r="Q304" s="37"/>
      <c r="R304" t="s" s="24">
        <v>161</v>
      </c>
      <c r="S304" s="36"/>
      <c r="T304" s="38">
        <f>IF(S304&gt;0,1.048,IF(R304&gt;0,1.048,IF(Q304&gt;0,1.036,0.907+1.55*(P304/N304)-4.449*(P304/N304)^2)))</f>
        <v>1.048</v>
      </c>
      <c r="U304" s="39">
        <v>692</v>
      </c>
      <c r="V304" s="40">
        <f>IF(H304="x",75+U304,IF(M304&lt;6.66,150+U304,-1.7384*M304^2+92.38*M304-388+U304))</f>
        <v>931.7823999999999</v>
      </c>
      <c r="W304" s="5">
        <v>3</v>
      </c>
      <c r="X304" s="5">
        <v>2.89</v>
      </c>
      <c r="Y304" s="5">
        <v>2.6</v>
      </c>
      <c r="Z304" s="5">
        <v>2.05</v>
      </c>
      <c r="AA304" s="5">
        <v>0.11</v>
      </c>
      <c r="AB304" s="5"/>
      <c r="AC304" s="5">
        <v>10.95</v>
      </c>
      <c r="AD304" s="33"/>
      <c r="AE304" s="5">
        <f>IF(AD304=0,(W304+4*X304+2*Y304+4*Z304+AA304)*AC304/12+W304*AB304/1.5,AD304)</f>
        <v>25.613875</v>
      </c>
      <c r="AF304" s="11">
        <v>11.8</v>
      </c>
      <c r="AG304" s="11">
        <v>0.49</v>
      </c>
      <c r="AH304" s="5">
        <f>IF(AC304=0,AE304+AF304*AG304/2,AE304+AC304*AG304/2)</f>
        <v>28.296625</v>
      </c>
      <c r="AI304" s="5">
        <v>7.87</v>
      </c>
      <c r="AJ304" s="5">
        <v>1.8</v>
      </c>
      <c r="AK304" s="33"/>
      <c r="AL304" s="5">
        <f>IF(AK304=0,AI304*AJ304/2,AK304)</f>
        <v>7.083</v>
      </c>
      <c r="AM304" s="3"/>
      <c r="AN304" s="5"/>
      <c r="AO304" s="5"/>
      <c r="AP304" s="5">
        <f>AL304+AI304*(AN304-AO304)/2</f>
        <v>7.083</v>
      </c>
      <c r="AQ304" s="5">
        <f>0.1*(AE304+AL304)</f>
        <v>3.2696875</v>
      </c>
      <c r="AR304" s="11">
        <v>11.8</v>
      </c>
      <c r="AS304" s="11"/>
      <c r="AT304" s="11"/>
      <c r="AU304" s="11"/>
      <c r="AV304" s="33"/>
      <c r="AW304" s="5">
        <f>IF(AV304=0,AS304/6*(AT304+AU304*4),AV304)</f>
        <v>0</v>
      </c>
      <c r="AX304" s="11">
        <v>1</v>
      </c>
      <c r="AY304" s="5">
        <f>IF(AX304&lt;0.149*M304+0.329,1,AX304/(0.149*M304+0.329))</f>
        <v>1</v>
      </c>
      <c r="AZ304" s="5">
        <f>IF(AW304*AY304&gt;AL304,(AW304*AY304-AL304)/4,0)</f>
        <v>0</v>
      </c>
      <c r="BA304" s="12">
        <f>0.401+0.1831*(2*AR304^2/(AH304+AP304+AZ304))-0.02016*(2*AR304^2/(AH304+AP304+AZ304))^2+0.0007472*(2*AR304^2/(AH304+AP304+AZ304))^3</f>
        <v>0.9575723327219604</v>
      </c>
      <c r="BB304" s="5">
        <v>5.56</v>
      </c>
      <c r="BC304" s="5">
        <v>11.56</v>
      </c>
      <c r="BD304" s="5">
        <v>10.2</v>
      </c>
      <c r="BE304" s="5">
        <v>4.74</v>
      </c>
      <c r="BF304" s="33"/>
      <c r="BG304" s="5">
        <f>IF(BF304=0,(BC304+BD304)*(BB304/12+BE304/3),BF304)</f>
        <v>44.46293333333333</v>
      </c>
      <c r="BH304" s="5">
        <f>IF(BG304*AY304&gt;AL304+AZ304,BG304*AY304-AL304-AZ304,0)</f>
        <v>37.37993333333333</v>
      </c>
      <c r="BI304" s="5">
        <f>IF(M304/1.6&lt;8,ROUND(M304/1.6,0),8)</f>
        <v>5</v>
      </c>
      <c r="BJ304" s="5">
        <f>(AH304+AP304+AZ304)*BA304+0.1*BH304</f>
        <v>37.61654337541152</v>
      </c>
      <c r="BK304" s="11">
        <v>1.1</v>
      </c>
      <c r="BL304" s="5">
        <f>M304*0.2</f>
        <v>1.6</v>
      </c>
      <c r="BM304" s="5">
        <f>ROUNDDOWN(M304/2.13,0)</f>
        <v>3</v>
      </c>
      <c r="BN304" s="12">
        <f>M304/4.26</f>
        <v>1.877934272300469</v>
      </c>
      <c r="BO304" s="5">
        <f>IF(M304&lt;8,1.22,IF(M304&lt;15.2,0.108333*M304+0.353,2))</f>
        <v>1.219664</v>
      </c>
      <c r="BP304" s="12">
        <f>IF(BK304&lt;BO304,1+0.3*(BO304-BK304)/M304,1)</f>
        <v>1.0044874</v>
      </c>
      <c r="BQ304" s="32"/>
      <c r="BR304" s="39">
        <v>0</v>
      </c>
      <c r="BS304" t="s" s="24">
        <v>154</v>
      </c>
      <c r="BT304" s="36"/>
      <c r="BU304" s="36"/>
      <c r="BV304" s="5">
        <f>IF(BQ304&lt;(M304/0.3048)^0.5,1,IF(BU304="x",1-BR304*0.02,IF(BT304="x",1-BR304*0.01,1)))</f>
        <v>1</v>
      </c>
      <c r="BW304" s="12">
        <f>IF(K304="x",MIN(1.315,1.28+U304*N304/BJ304/AR304/1100),IF(L304="x",1.28,MAX(1.245,1.28-U304*N304/BJ304/AR304/1100)))</f>
        <v>1.268945295974784</v>
      </c>
      <c r="BX304" s="41">
        <f>BW304*T304*BV304*BP304*N304^0.3*BJ304^0.4/V304^0.325</f>
        <v>1.144198562133504</v>
      </c>
      <c r="BY304" s="29"/>
      <c r="BZ304" s="48"/>
      <c r="CA304" t="s" s="19">
        <v>509</v>
      </c>
      <c r="CB304" t="s" s="19">
        <v>510</v>
      </c>
      <c r="CC304" t="s" s="19">
        <v>254</v>
      </c>
      <c r="CD304" t="s" s="19">
        <v>483</v>
      </c>
      <c r="CE304" s="3"/>
      <c r="CF304" s="3"/>
      <c r="CG304" t="s" s="30">
        <f>A304</f>
        <v>1831</v>
      </c>
    </row>
    <row r="305" ht="12.75" customHeight="1">
      <c r="A305" t="s" s="25">
        <v>1832</v>
      </c>
      <c r="B305" t="s" s="19">
        <v>1833</v>
      </c>
      <c r="C305" t="s" s="19">
        <v>1834</v>
      </c>
      <c r="D305" t="s" s="19">
        <v>1134</v>
      </c>
      <c r="E305" t="s" s="19">
        <v>1835</v>
      </c>
      <c r="F305" t="s" s="19">
        <v>1836</v>
      </c>
      <c r="G305" t="s" s="19">
        <v>1837</v>
      </c>
      <c r="H305" s="32"/>
      <c r="I305" s="32"/>
      <c r="J305" t="s" s="24">
        <v>154</v>
      </c>
      <c r="K305" s="36"/>
      <c r="L305" s="36"/>
      <c r="M305" s="11">
        <v>8</v>
      </c>
      <c r="N305" s="5">
        <v>8</v>
      </c>
      <c r="O305" s="11">
        <v>4.7</v>
      </c>
      <c r="P305" s="11">
        <v>0.77</v>
      </c>
      <c r="Q305" s="37"/>
      <c r="R305" s="36"/>
      <c r="S305" s="36"/>
      <c r="T305" s="38">
        <f>IF(S305&gt;0,1.048,IF(R305&gt;0,1.048,IF(Q305&gt;0,1.036,0.907+1.55*(P305/N305)-4.449*(P305/N305)^2)))</f>
        <v>1.0149716859375</v>
      </c>
      <c r="U305" s="39">
        <v>650</v>
      </c>
      <c r="V305" s="40">
        <f>IF(H305="x",75+U305,IF(M305&lt;6.66,150+U305,-1.7384*M305^2+92.38*M305-388+U305))</f>
        <v>889.7823999999999</v>
      </c>
      <c r="W305" s="5"/>
      <c r="X305" s="5"/>
      <c r="Y305" s="5"/>
      <c r="Z305" s="5"/>
      <c r="AA305" s="5"/>
      <c r="AB305" s="5"/>
      <c r="AC305" s="5"/>
      <c r="AD305" s="33">
        <v>24</v>
      </c>
      <c r="AE305" s="5">
        <f>IF(AD305=0,(W305+4*X305+2*Y305+4*Z305+AA305)*AC305/12+W305*AB305/1.5,AD305)</f>
        <v>24</v>
      </c>
      <c r="AF305" s="11">
        <v>11.5</v>
      </c>
      <c r="AG305" s="11"/>
      <c r="AH305" s="5">
        <f>IF(AC305=0,AE305+AF305*AG305/2,AE305+AC305*AG305/2)</f>
        <v>24</v>
      </c>
      <c r="AI305" s="3"/>
      <c r="AJ305" s="3"/>
      <c r="AK305" s="33">
        <v>13</v>
      </c>
      <c r="AL305" s="5">
        <f>IF(AK305=0,AI305*AJ305/2,AK305)</f>
        <v>13</v>
      </c>
      <c r="AM305" t="s" s="19">
        <v>154</v>
      </c>
      <c r="AN305" s="5"/>
      <c r="AO305" s="5"/>
      <c r="AP305" s="5">
        <f>AL305+AI305*(AN305-AO305)/2</f>
        <v>13</v>
      </c>
      <c r="AQ305" s="5">
        <f>0.1*(AE305+AL305)</f>
        <v>3.7</v>
      </c>
      <c r="AR305" s="11">
        <v>11.5</v>
      </c>
      <c r="AS305" s="11"/>
      <c r="AT305" s="11"/>
      <c r="AU305" s="11"/>
      <c r="AV305" s="33">
        <v>30</v>
      </c>
      <c r="AW305" s="5">
        <f>IF(AV305=0,AS305/6*(AT305+AU305*4),AV305)</f>
        <v>30</v>
      </c>
      <c r="AX305" s="11">
        <v>2</v>
      </c>
      <c r="AY305" s="5">
        <f>IF(AX305&lt;0.149*M305+0.329,1,AX305/(0.149*M305+0.329))</f>
        <v>1.314924391847469</v>
      </c>
      <c r="AZ305" s="5">
        <f>IF(AW305*AY305&gt;AL305,(AW305*AY305-AL305)/4,0)</f>
        <v>6.611932938856016</v>
      </c>
      <c r="BA305" s="12">
        <f>0.401+0.1831*(2*AR305^2/(AH305+AP305+AZ305))-0.02016*(2*AR305^2/(AH305+AP305+AZ305))^2+0.0007472*(2*AR305^2/(AH305+AP305+AZ305))^3</f>
        <v>0.9366260266123114</v>
      </c>
      <c r="BB305" s="3"/>
      <c r="BC305" s="3"/>
      <c r="BD305" s="3"/>
      <c r="BE305" s="3"/>
      <c r="BF305" s="33">
        <v>58</v>
      </c>
      <c r="BG305" s="5">
        <f>IF(BF305=0,(BC305+BD305)*(BB305/12+BE305/3),BF305)</f>
        <v>58</v>
      </c>
      <c r="BH305" s="5">
        <f>IF(BG305*AY305&gt;AL305+AZ305,BG305*AY305-AL305-AZ305,0)</f>
        <v>56.65368178829718</v>
      </c>
      <c r="BI305" s="5">
        <f>IF(M305/1.6&lt;8,ROUND(M305/1.6,0),8)</f>
        <v>5</v>
      </c>
      <c r="BJ305" s="5">
        <f>(AH305+AP305+AZ305)*BA305+0.1*BH305</f>
        <v>46.51343964023301</v>
      </c>
      <c r="BK305" s="11">
        <v>0.9</v>
      </c>
      <c r="BL305" s="5">
        <f>M305*0.2</f>
        <v>1.6</v>
      </c>
      <c r="BM305" s="5">
        <f>ROUNDDOWN(M305/2.13,0)</f>
        <v>3</v>
      </c>
      <c r="BN305" s="12">
        <f>M305/4.26</f>
        <v>1.877934272300469</v>
      </c>
      <c r="BO305" s="5">
        <f>IF(M305&lt;8,1.22,IF(M305&lt;15.2,0.108333*M305+0.353,2))</f>
        <v>1.219664</v>
      </c>
      <c r="BP305" s="12">
        <f>IF(BK305&lt;BO305,1+0.3*(BO305-BK305)/M305,1)</f>
        <v>1.0119874</v>
      </c>
      <c r="BQ305" s="39">
        <v>7</v>
      </c>
      <c r="BR305" s="39">
        <v>1</v>
      </c>
      <c r="BS305" t="s" s="24">
        <v>154</v>
      </c>
      <c r="BT305" s="36"/>
      <c r="BU305" s="36"/>
      <c r="BV305" s="5">
        <f>IF(BQ305&lt;(M305/0.3048)^0.5,1,IF(BU305="x",1-BR305*0.02,IF(BT305="x",1-BR305*0.01,1)))</f>
        <v>1</v>
      </c>
      <c r="BW305" s="12">
        <f>IF(K305="x",MIN(1.315,1.28+U305*N305/BJ305/AR305/1100),IF(L305="x",1.28,MAX(1.245,1.28-U305*N305/BJ305/AR305/1100)))</f>
        <v>1.271162399580522</v>
      </c>
      <c r="BX305" s="41">
        <f>BW305*T305*BV305*BP305*N305^0.3*BJ305^0.4/V305^0.325</f>
        <v>1.245292035955569</v>
      </c>
      <c r="BY305" s="29"/>
      <c r="BZ305" s="29"/>
      <c r="CA305" t="s" s="19">
        <v>188</v>
      </c>
      <c r="CB305" t="s" s="19">
        <v>1838</v>
      </c>
      <c r="CC305" s="3"/>
      <c r="CD305" s="3"/>
      <c r="CE305" s="3"/>
      <c r="CF305" s="3"/>
      <c r="CG305" t="s" s="30">
        <f>A305</f>
        <v>1839</v>
      </c>
    </row>
    <row r="306" ht="12.75" customHeight="1">
      <c r="A306" t="s" s="25">
        <v>1840</v>
      </c>
      <c r="B306" t="s" s="19">
        <v>1841</v>
      </c>
      <c r="C306" t="s" s="19">
        <v>1842</v>
      </c>
      <c r="D306" t="s" s="19">
        <v>1843</v>
      </c>
      <c r="E306" t="s" s="19">
        <v>1844</v>
      </c>
      <c r="F306" s="3"/>
      <c r="G306" s="3"/>
      <c r="H306" s="32"/>
      <c r="I306" s="32"/>
      <c r="J306" t="s" s="24">
        <v>154</v>
      </c>
      <c r="K306" s="36"/>
      <c r="L306" s="36"/>
      <c r="M306" s="11">
        <v>14.4</v>
      </c>
      <c r="N306" s="5">
        <v>13.6</v>
      </c>
      <c r="O306" s="11">
        <v>7.6</v>
      </c>
      <c r="P306" s="11"/>
      <c r="Q306" s="37"/>
      <c r="R306" t="s" s="24">
        <v>1101</v>
      </c>
      <c r="S306" s="36"/>
      <c r="T306" s="38">
        <f>IF(S306&gt;0,1.048,IF(R306&gt;0,1.048,IF(Q306&gt;0,1.036,0.907+1.55*(P306/N306)-4.449*(P306/N306)^2)))</f>
        <v>1.048</v>
      </c>
      <c r="U306" s="39">
        <v>9000</v>
      </c>
      <c r="V306" s="40">
        <f>IF(H306="x",75+U306,IF(M306&lt;6.66,150+U306,-1.7384*M306^2+92.38*M306-388+U306))</f>
        <v>9581.797376</v>
      </c>
      <c r="W306" s="5"/>
      <c r="X306" s="5"/>
      <c r="Y306" s="5"/>
      <c r="Z306" s="5"/>
      <c r="AA306" s="5"/>
      <c r="AB306" s="5"/>
      <c r="AC306" s="5"/>
      <c r="AD306" s="33">
        <v>80</v>
      </c>
      <c r="AE306" s="5">
        <f>IF(AD306=0,(W306+4*X306+2*Y306+4*Z306+AA306)*AC306/12+W306*AB306/1.5,AD306)</f>
        <v>80</v>
      </c>
      <c r="AF306" s="11">
        <v>20</v>
      </c>
      <c r="AG306" s="11"/>
      <c r="AH306" s="5">
        <f>IF(AC306=0,AE306+AF306*AG306/2,AE306+AC306*AG306/2)</f>
        <v>80</v>
      </c>
      <c r="AI306" s="3"/>
      <c r="AJ306" s="3"/>
      <c r="AK306" s="33">
        <v>35</v>
      </c>
      <c r="AL306" s="5">
        <f>IF(AK306=0,AI306*AJ306/2,AK306)</f>
        <v>35</v>
      </c>
      <c r="AM306" s="3"/>
      <c r="AN306" s="5"/>
      <c r="AO306" s="5"/>
      <c r="AP306" s="5">
        <f>AL306+AI306*(AN306-AO306)/2</f>
        <v>35</v>
      </c>
      <c r="AQ306" s="5">
        <f>0.1*(AE306+AL306)</f>
        <v>11.5</v>
      </c>
      <c r="AR306" s="11">
        <v>21</v>
      </c>
      <c r="AS306" s="11"/>
      <c r="AT306" s="11"/>
      <c r="AU306" s="11"/>
      <c r="AV306" s="33">
        <v>60</v>
      </c>
      <c r="AW306" s="5">
        <f>IF(AV306=0,AS306/6*(AT306+AU306*4),AV306)</f>
        <v>60</v>
      </c>
      <c r="AX306" s="11">
        <v>0.5</v>
      </c>
      <c r="AY306" s="5">
        <f>IF(AX306&lt;0.149*M306+0.329,1,AX306/(0.149*M306+0.329))</f>
        <v>1</v>
      </c>
      <c r="AZ306" s="5">
        <f>IF(AW306*AY306&gt;AL306,(AW306*AY306-AL306)/4,0)</f>
        <v>6.25</v>
      </c>
      <c r="BA306" s="12">
        <f>0.401+0.1831*(2*AR306^2/(AH306+AP306+AZ306))-0.02016*(2*AR306^2/(AH306+AP306+AZ306))^2+0.0007472*(2*AR306^2/(AH306+AP306+AZ306))^3</f>
        <v>0.9537627414816428</v>
      </c>
      <c r="BB306" s="3"/>
      <c r="BC306" s="3"/>
      <c r="BD306" s="3"/>
      <c r="BE306" s="3"/>
      <c r="BF306" s="33">
        <v>160</v>
      </c>
      <c r="BG306" s="5">
        <f>IF(BF306=0,(BC306+BD306)*(BB306/12+BE306/3),BF306)</f>
        <v>160</v>
      </c>
      <c r="BH306" s="5">
        <f>IF(BG306*AY306&gt;AL306+AZ306,BG306*AY306-AL306-AZ306,0)</f>
        <v>118.75</v>
      </c>
      <c r="BI306" s="42">
        <f>IF(M306/1.6&lt;8,ROUND(M306/1.6,0),8)</f>
        <v>8</v>
      </c>
      <c r="BJ306" s="5">
        <f>(AH306+AP306+AZ306)*BA306+0.1*BH306</f>
        <v>127.5187324046492</v>
      </c>
      <c r="BK306" s="11">
        <v>1.95</v>
      </c>
      <c r="BL306" s="5">
        <f>M306*0.2</f>
        <v>2.88</v>
      </c>
      <c r="BM306" s="5">
        <f>ROUNDDOWN(M306/2.13,0)</f>
        <v>6</v>
      </c>
      <c r="BN306" s="12">
        <f>M306/4.26</f>
        <v>3.380281690140845</v>
      </c>
      <c r="BO306" s="5">
        <f>IF(M306&lt;8,1.22,IF(M306&lt;15.2,0.108333*M306+0.353,2))</f>
        <v>1.9129952</v>
      </c>
      <c r="BP306" s="12">
        <f>IF(BK306&lt;BO306,1+0.3*(BO306-BK306)/M306,1)</f>
        <v>1</v>
      </c>
      <c r="BQ306" s="39">
        <v>8</v>
      </c>
      <c r="BR306" s="39">
        <v>2</v>
      </c>
      <c r="BS306" s="36"/>
      <c r="BT306" t="s" s="24">
        <v>154</v>
      </c>
      <c r="BU306" s="36"/>
      <c r="BV306" s="5">
        <f>IF(BQ306&lt;(M306/0.3048)^0.5,1,IF(BU306="x",1-BR306*0.02,IF(BT306="x",1-BR306*0.01,1)))</f>
        <v>0.98</v>
      </c>
      <c r="BW306" s="12">
        <f>IF(K306="x",MIN(1.315,1.28+U306*N306/BJ306/AR306/1100),IF(L306="x",1.28,MAX(1.245,1.28-U306*N306/BJ306/AR306/1100)))</f>
        <v>1.245</v>
      </c>
      <c r="BX306" s="41">
        <f>BW306*T306*BV306*BP306*N306^0.3*BJ306^0.4/V306^0.325</f>
        <v>0.9887299908966247</v>
      </c>
      <c r="BY306" s="29"/>
      <c r="BZ306" s="29"/>
      <c r="CA306" t="s" s="19">
        <v>188</v>
      </c>
      <c r="CB306" t="s" s="19">
        <v>245</v>
      </c>
      <c r="CC306" t="s" s="19">
        <v>180</v>
      </c>
      <c r="CD306" s="3"/>
      <c r="CE306" s="3"/>
      <c r="CF306" s="3"/>
      <c r="CG306" t="s" s="30">
        <f>A306</f>
        <v>1845</v>
      </c>
    </row>
    <row r="307" ht="12.75" customHeight="1">
      <c r="A307" t="s" s="25">
        <v>1846</v>
      </c>
      <c r="B307" t="s" s="19">
        <v>157</v>
      </c>
      <c r="C307" t="s" s="19">
        <v>158</v>
      </c>
      <c r="D307" t="s" s="19">
        <v>159</v>
      </c>
      <c r="E307" t="s" s="19">
        <v>1847</v>
      </c>
      <c r="F307" s="3"/>
      <c r="G307" s="3"/>
      <c r="H307" s="32"/>
      <c r="I307" s="32"/>
      <c r="J307" t="s" s="24">
        <v>154</v>
      </c>
      <c r="K307" s="36"/>
      <c r="L307" s="36"/>
      <c r="M307" s="11">
        <v>16.1</v>
      </c>
      <c r="N307" s="5">
        <v>16.1</v>
      </c>
      <c r="O307" s="11">
        <v>7.2</v>
      </c>
      <c r="P307" s="11"/>
      <c r="Q307" s="37"/>
      <c r="R307" t="s" s="24">
        <v>1848</v>
      </c>
      <c r="S307" s="36"/>
      <c r="T307" s="38">
        <f>IF(S307&gt;0,1.048,IF(R307&gt;0,1.048,IF(Q307&gt;0,1.036,0.907+1.55*(P307/N307)-4.449*(P307/N307)^2)))</f>
        <v>1.048</v>
      </c>
      <c r="U307" s="39">
        <v>11000</v>
      </c>
      <c r="V307" s="40">
        <f>IF(H307="x",75+U307,IF(M307&lt;6.66,150+U307,-1.7384*M307^2+92.38*M307-388+U307))</f>
        <v>11648.707336</v>
      </c>
      <c r="W307" s="5"/>
      <c r="X307" s="5"/>
      <c r="Y307" s="5"/>
      <c r="Z307" s="5"/>
      <c r="AA307" s="5"/>
      <c r="AB307" s="5"/>
      <c r="AC307" s="5">
        <v>17.3</v>
      </c>
      <c r="AD307" s="33">
        <v>78</v>
      </c>
      <c r="AE307" s="5">
        <f>IF(AD307=0,(W307+4*X307+2*Y307+4*Z307+AA307)*AC307/12+W307*AB307/1.5,AD307)</f>
        <v>78</v>
      </c>
      <c r="AF307" s="11">
        <v>19.2</v>
      </c>
      <c r="AG307" s="11"/>
      <c r="AH307" s="5">
        <f>IF(AC307=0,AE307+AF307*AG307/2,AE307+AC307*AG307/2)</f>
        <v>78</v>
      </c>
      <c r="AI307" s="5">
        <v>16</v>
      </c>
      <c r="AJ307" s="3"/>
      <c r="AK307" s="33">
        <v>58</v>
      </c>
      <c r="AL307" s="5">
        <f>IF(AK307=0,AI307*AJ307/2,AK307)</f>
        <v>58</v>
      </c>
      <c r="AM307" s="3"/>
      <c r="AN307" s="5"/>
      <c r="AO307" s="5"/>
      <c r="AP307" s="5">
        <f>AL307+AI307*(AN307-AO307)/2</f>
        <v>58</v>
      </c>
      <c r="AQ307" s="5">
        <f>0.1*(AE307+AL307)</f>
        <v>13.6</v>
      </c>
      <c r="AR307" s="11">
        <v>20</v>
      </c>
      <c r="AS307" s="11"/>
      <c r="AT307" s="11"/>
      <c r="AU307" s="11"/>
      <c r="AV307" s="33">
        <v>105</v>
      </c>
      <c r="AW307" s="5">
        <f>IF(AV307=0,AS307/6*(AT307+AU307*4),AV307)</f>
        <v>105</v>
      </c>
      <c r="AX307" s="11">
        <v>1.2</v>
      </c>
      <c r="AY307" s="5">
        <f>IF(AX307&lt;0.149*M307+0.329,1,AX307/(0.149*M307+0.329))</f>
        <v>1</v>
      </c>
      <c r="AZ307" s="5">
        <f>IF(AW307*AY307&gt;AL307,(AW307*AY307-AL307)/4,0)</f>
        <v>11.75</v>
      </c>
      <c r="BA307" s="12">
        <f>0.401+0.1831*(2*AR307^2/(AH307+AP307+AZ307))-0.02016*(2*AR307^2/(AH307+AP307+AZ307))^2+0.0007472*(2*AR307^2/(AH307+AP307+AZ307))^3</f>
        <v>0.919977070958595</v>
      </c>
      <c r="BB307" s="3"/>
      <c r="BC307" s="3"/>
      <c r="BD307" s="3"/>
      <c r="BE307" s="3"/>
      <c r="BF307" s="33">
        <v>135</v>
      </c>
      <c r="BG307" s="5">
        <f>IF(BF307=0,(BC307+BD307)*(BB307/12+BE307/3),BF307)</f>
        <v>135</v>
      </c>
      <c r="BH307" s="5">
        <f>IF(BG307*AY307&gt;AL307+AZ307,BG307*AY307-AL307-AZ307,0)</f>
        <v>65.25</v>
      </c>
      <c r="BI307" s="42">
        <f>IF(M307/1.6&lt;8,ROUND(M307/1.6,0),8)</f>
        <v>8</v>
      </c>
      <c r="BJ307" s="5">
        <f>(AH307+AP307+AZ307)*BA307+0.1*BH307</f>
        <v>142.4516122341324</v>
      </c>
      <c r="BK307" s="11">
        <v>2</v>
      </c>
      <c r="BL307" s="5">
        <f>M307*0.2</f>
        <v>3.220000000000001</v>
      </c>
      <c r="BM307" s="5">
        <f>ROUNDDOWN(M307/2.13,0)</f>
        <v>7</v>
      </c>
      <c r="BN307" s="12">
        <f>M307/4.26</f>
        <v>3.779342723004695</v>
      </c>
      <c r="BO307" s="5">
        <f>IF(M307&lt;8,1.22,IF(M307&lt;15.2,0.108333*M307+0.353,2))</f>
        <v>2</v>
      </c>
      <c r="BP307" s="12">
        <f>IF(BK307&lt;BO307,1+0.3*(BO307-BK307)/M307,1)</f>
        <v>1</v>
      </c>
      <c r="BQ307" s="39">
        <v>7.5</v>
      </c>
      <c r="BR307" s="39">
        <v>2</v>
      </c>
      <c r="BS307" s="36"/>
      <c r="BT307" t="s" s="24">
        <v>154</v>
      </c>
      <c r="BU307" s="36"/>
      <c r="BV307" s="5">
        <f>IF(BQ307&lt;(M307/0.3048)^0.5,1,IF(BU307="x",1-BR307*0.02,IF(BT307="x",1-BR307*0.01,1)))</f>
        <v>0.98</v>
      </c>
      <c r="BW307" s="12">
        <f>IF(K307="x",MIN(1.315,1.28+U307*N307/BJ307/AR307/1100),IF(L307="x",1.28,MAX(1.245,1.28-U307*N307/BJ307/AR307/1100)))</f>
        <v>1.245</v>
      </c>
      <c r="BX307" s="41">
        <f>BW307*T307*BV307*BP307*N307^0.3*BJ307^0.4/V307^0.325</f>
        <v>1.020307682046978</v>
      </c>
      <c r="BY307" s="29"/>
      <c r="BZ307" s="29"/>
      <c r="CA307" t="s" s="19">
        <v>188</v>
      </c>
      <c r="CB307" t="s" s="19">
        <v>245</v>
      </c>
      <c r="CC307" t="s" s="19">
        <v>180</v>
      </c>
      <c r="CD307" s="3"/>
      <c r="CE307" s="3"/>
      <c r="CF307" s="3"/>
      <c r="CG307" t="s" s="30">
        <f>A307</f>
        <v>1849</v>
      </c>
    </row>
    <row r="308" ht="12.75" customHeight="1">
      <c r="A308" t="s" s="25">
        <v>1850</v>
      </c>
      <c r="B308" t="s" s="19">
        <v>1851</v>
      </c>
      <c r="C308" t="s" s="19">
        <v>184</v>
      </c>
      <c r="D308" t="s" s="19">
        <v>1852</v>
      </c>
      <c r="E308" t="s" s="19">
        <v>1853</v>
      </c>
      <c r="F308" s="3"/>
      <c r="G308" s="3"/>
      <c r="H308" s="32"/>
      <c r="I308" s="32"/>
      <c r="J308" s="36"/>
      <c r="K308" t="s" s="24">
        <v>154</v>
      </c>
      <c r="L308" s="36"/>
      <c r="M308" s="11">
        <v>15.24</v>
      </c>
      <c r="N308" s="5">
        <v>15.24</v>
      </c>
      <c r="O308" s="11">
        <v>13.78</v>
      </c>
      <c r="P308" s="11"/>
      <c r="Q308" s="37"/>
      <c r="R308" t="s" s="24">
        <v>1854</v>
      </c>
      <c r="S308" s="36"/>
      <c r="T308" s="38">
        <f>IF(S308&gt;0,1.048,IF(R308&gt;0,1.048,IF(Q308&gt;0,1.036,0.907+1.55*(P308/N308)-4.449*(P308/N308)^2)))</f>
        <v>1.048</v>
      </c>
      <c r="U308" s="39">
        <v>4500</v>
      </c>
      <c r="V308" s="40">
        <f>IF(H308="x",75+U308,IF(M308&lt;6.66,150+U308,-1.7384*M308^2+92.38*M308-388+U308))</f>
        <v>5116.11458816</v>
      </c>
      <c r="W308" s="5"/>
      <c r="X308" s="5"/>
      <c r="Y308" s="5"/>
      <c r="Z308" s="5"/>
      <c r="AA308" s="5"/>
      <c r="AB308" s="5"/>
      <c r="AC308" s="5"/>
      <c r="AD308" s="33">
        <v>97.5</v>
      </c>
      <c r="AE308" s="5">
        <f>IF(AD308=0,(W308+4*X308+2*Y308+4*Z308+AA308)*AC308/12+W308*AB308/1.5,AD308)</f>
        <v>97.5</v>
      </c>
      <c r="AF308" s="11">
        <v>20.5</v>
      </c>
      <c r="AG308" s="11"/>
      <c r="AH308" s="5">
        <f>IF(AC308=0,AE308+AF308*AG308/2,AE308+AC308*AG308/2)</f>
        <v>97.5</v>
      </c>
      <c r="AI308" s="3"/>
      <c r="AJ308" s="3"/>
      <c r="AK308" s="33">
        <v>53</v>
      </c>
      <c r="AL308" s="5">
        <f>IF(AK308=0,AI308*AJ308/2,AK308)</f>
        <v>53</v>
      </c>
      <c r="AM308" s="3"/>
      <c r="AN308" s="5"/>
      <c r="AO308" s="5"/>
      <c r="AP308" s="5">
        <f>AL308+AI308*(AN308-AO308)/2</f>
        <v>53</v>
      </c>
      <c r="AQ308" s="5">
        <f>0.1*(AE308+AL308)</f>
        <v>15.05</v>
      </c>
      <c r="AR308" s="11">
        <v>20.5</v>
      </c>
      <c r="AS308" s="11"/>
      <c r="AT308" s="11"/>
      <c r="AU308" s="11"/>
      <c r="AV308" s="33">
        <v>129</v>
      </c>
      <c r="AW308" s="5">
        <f>IF(AV308=0,AS308/6*(AT308+AU308*4),AV308)</f>
        <v>129</v>
      </c>
      <c r="AX308" s="11"/>
      <c r="AY308" s="5">
        <f>IF(AX308&lt;0.149*M308+0.329,1,AX308/(0.149*M308+0.329))</f>
        <v>1</v>
      </c>
      <c r="AZ308" s="5">
        <f>IF(AW308*AY308&gt;AL308,(AW308*AY308-AL308)/4,0)</f>
        <v>19</v>
      </c>
      <c r="BA308" s="12">
        <f>0.401+0.1831*(2*AR308^2/(AH308+AP308+AZ308))-0.02016*(2*AR308^2/(AH308+AP308+AZ308))^2+0.0007472*(2*AR308^2/(AH308+AP308+AZ308))^3</f>
        <v>0.9043343550775564</v>
      </c>
      <c r="BB308" s="3"/>
      <c r="BC308" s="3"/>
      <c r="BD308" s="3"/>
      <c r="BE308" s="3"/>
      <c r="BF308" s="33">
        <v>0</v>
      </c>
      <c r="BG308" s="5">
        <f>IF(BF308=0,(BC308+BD308)*(BB308/12+BE308/3),BF308)</f>
        <v>0</v>
      </c>
      <c r="BH308" s="5">
        <f>IF(BG308*AY308&gt;AL308+AZ308,BG308*AY308-AL308-AZ308,0)</f>
        <v>0</v>
      </c>
      <c r="BI308" s="42">
        <f>IF(M308/1.6&lt;8,ROUND(M308/1.6,0),8)</f>
        <v>8</v>
      </c>
      <c r="BJ308" s="5">
        <f>(AH308+AP308+AZ308)*BA308+0.1*BH308</f>
        <v>153.2846731856458</v>
      </c>
      <c r="BK308" s="11">
        <v>1.8</v>
      </c>
      <c r="BL308" s="5">
        <f>M308*0.2</f>
        <v>3.048</v>
      </c>
      <c r="BM308" s="5">
        <f>ROUNDDOWN(M308/2.13,0)</f>
        <v>7</v>
      </c>
      <c r="BN308" s="12">
        <f>M308/4.26</f>
        <v>3.577464788732394</v>
      </c>
      <c r="BO308" s="5">
        <f>IF(M308&lt;8,1.22,IF(M308&lt;15.2,0.108333*M308+0.353,2))</f>
        <v>2</v>
      </c>
      <c r="BP308" s="12">
        <f>IF(BK308&lt;BO308,1+0.3*(BO308-BK308)/M308,1)</f>
        <v>1.003937007874016</v>
      </c>
      <c r="BQ308" s="39">
        <v>8</v>
      </c>
      <c r="BR308" s="39">
        <v>1</v>
      </c>
      <c r="BS308" s="36"/>
      <c r="BT308" t="s" s="24">
        <v>154</v>
      </c>
      <c r="BU308" s="36"/>
      <c r="BV308" s="5">
        <f>IF(BQ308&lt;(M308/0.3048)^0.5,1,IF(BU308="x",1-BR308*0.02,IF(BT308="x",1-BR308*0.01,1)))</f>
        <v>0.99</v>
      </c>
      <c r="BW308" s="12">
        <f>IF(K308="x",MIN(1.315,1.28+U308*N308/BJ308/AR308/1100),IF(L308="x",1.28,MAX(1.245,1.28-U308*N308/BJ308/AR308/1100)))</f>
        <v>1.299840481255819</v>
      </c>
      <c r="BX308" s="41">
        <f>BW308*T308*BV308*BP308*N308^0.3*BJ308^0.4/V308^0.325</f>
        <v>1.429823388349563</v>
      </c>
      <c r="BY308" s="29"/>
      <c r="BZ308" s="29"/>
      <c r="CA308" t="s" s="19">
        <v>213</v>
      </c>
      <c r="CB308" t="s" s="19">
        <v>357</v>
      </c>
      <c r="CC308" t="s" s="19">
        <v>164</v>
      </c>
      <c r="CD308" t="s" s="19">
        <v>1855</v>
      </c>
      <c r="CE308" s="3"/>
      <c r="CF308" s="3"/>
      <c r="CG308" t="s" s="30">
        <f>A308</f>
        <v>1856</v>
      </c>
    </row>
    <row r="309" ht="12.75" customHeight="1">
      <c r="A309" t="s" s="25">
        <v>1857</v>
      </c>
      <c r="B309" t="s" s="19">
        <v>1858</v>
      </c>
      <c r="C309" t="s" s="19">
        <v>242</v>
      </c>
      <c r="D309" t="s" s="19">
        <v>1859</v>
      </c>
      <c r="E309" t="s" s="19">
        <v>454</v>
      </c>
      <c r="F309" s="4"/>
      <c r="G309" s="4"/>
      <c r="H309" s="32"/>
      <c r="I309" s="32"/>
      <c r="J309" t="s" s="24">
        <v>154</v>
      </c>
      <c r="K309" s="36"/>
      <c r="L309" s="36"/>
      <c r="M309" s="11">
        <v>16.9</v>
      </c>
      <c r="N309" s="15">
        <v>16.9</v>
      </c>
      <c r="O309" s="11">
        <v>9.199999999999999</v>
      </c>
      <c r="P309" s="11">
        <v>1.4</v>
      </c>
      <c r="Q309" s="37"/>
      <c r="R309" s="36"/>
      <c r="S309" s="36"/>
      <c r="T309" s="38">
        <f>IF(S309&gt;0,1.048,IF(R309&gt;0,1.048,IF(Q309&gt;0,1.036,0.907+1.55*(P309/N309)-4.449*(P309/N309)^2)))</f>
        <v>1.004871082945275</v>
      </c>
      <c r="U309" s="39">
        <v>15000</v>
      </c>
      <c r="V309" s="45">
        <f>IF(H309="x",75+U309,IF(M309&lt;6.66,150+U309,-1.7384*M309^2+92.38*M309-388+U309))</f>
        <v>15676.717576</v>
      </c>
      <c r="W309" s="9"/>
      <c r="X309" s="9"/>
      <c r="Y309" s="9"/>
      <c r="Z309" s="9"/>
      <c r="AA309" s="9"/>
      <c r="AB309" s="9"/>
      <c r="AC309" s="9"/>
      <c r="AD309" s="33">
        <v>110</v>
      </c>
      <c r="AE309" s="5">
        <f>IF(AD309=0,(W309+4*X309+2*Y309+4*Z309+AA309)*AC309/12+W309*AB309/1.5,AD309)</f>
        <v>110</v>
      </c>
      <c r="AF309" s="11">
        <v>22</v>
      </c>
      <c r="AG309" s="11"/>
      <c r="AH309" s="5">
        <f>IF(AC309=0,AE309+AF309*AG309/2,AE309+AC309*AG309/2)</f>
        <v>110</v>
      </c>
      <c r="AI309" s="9"/>
      <c r="AJ309" s="9"/>
      <c r="AK309" s="33">
        <v>35</v>
      </c>
      <c r="AL309" s="5">
        <f>IF(AK309=0,AI309*AJ309/2,AK309)</f>
        <v>35</v>
      </c>
      <c r="AM309" s="32"/>
      <c r="AN309" s="11"/>
      <c r="AO309" s="11"/>
      <c r="AP309" s="5">
        <f>AL309+AI309*(AN309-AO309)/2</f>
        <v>35</v>
      </c>
      <c r="AQ309" s="5">
        <f>0.1*(AE309+AL309)</f>
        <v>14.5</v>
      </c>
      <c r="AR309" s="11">
        <v>23</v>
      </c>
      <c r="AS309" s="11"/>
      <c r="AT309" s="11"/>
      <c r="AU309" s="11"/>
      <c r="AV309" s="33">
        <v>90</v>
      </c>
      <c r="AW309" s="5">
        <f>IF(AV309=0,AS309/6*(AT309+AU309*4),AV309)</f>
        <v>90</v>
      </c>
      <c r="AX309" s="11">
        <v>1</v>
      </c>
      <c r="AY309" s="5">
        <f>IF(AX309&lt;0.149*M309+0.329,1,AX309/(0.149*M309+0.329))</f>
        <v>1</v>
      </c>
      <c r="AZ309" s="5">
        <f>IF(AW309*AY309&gt;AL309,(AW309*AY309-AL309)/4,0)</f>
        <v>13.75</v>
      </c>
      <c r="BA309" s="12">
        <f>0.401+0.1831*(2*AR309^2/(AH309+AP309+AZ309))-0.02016*(2*AR309^2/(AH309+AP309+AZ309))^2+0.0007472*(2*AR309^2/(AH309+AP309+AZ309))^3</f>
        <v>0.9470299939108247</v>
      </c>
      <c r="BB309" s="9"/>
      <c r="BC309" s="9"/>
      <c r="BD309" s="9"/>
      <c r="BE309" s="9"/>
      <c r="BF309" s="33">
        <v>180</v>
      </c>
      <c r="BG309" s="5">
        <f>IF(BF309=0,(BC309+BD309)*(BB309/12+BE309/3),BF309)</f>
        <v>180</v>
      </c>
      <c r="BH309" s="5">
        <f>IF(BG309*AY309&gt;AL309+AZ309,BG309*AY309-AL309-AZ309,0)</f>
        <v>131.25</v>
      </c>
      <c r="BI309" s="42">
        <f>IF(M309/1.6&lt;8,ROUND(M309/1.6,0),8)</f>
        <v>8</v>
      </c>
      <c r="BJ309" s="15">
        <f>(AH309+AP309+AZ309)*BA309+0.1*BH309</f>
        <v>163.4660115333434</v>
      </c>
      <c r="BK309" s="11">
        <v>2</v>
      </c>
      <c r="BL309" s="5">
        <f>M309*0.2</f>
        <v>3.38</v>
      </c>
      <c r="BM309" s="5">
        <f>ROUNDDOWN(M309/2.13,0)</f>
        <v>7</v>
      </c>
      <c r="BN309" s="12">
        <f>M309/4.26</f>
        <v>3.967136150234742</v>
      </c>
      <c r="BO309" s="5">
        <f>IF(M309&lt;8,1.22,IF(M309&lt;15.2,0.108333*M309+0.353,2))</f>
        <v>2</v>
      </c>
      <c r="BP309" s="7">
        <f>IF(BK309&lt;BO309,1+0.3*(BO309-BK309)/M309,1)</f>
        <v>1</v>
      </c>
      <c r="BQ309" s="39">
        <v>7.5</v>
      </c>
      <c r="BR309" s="39">
        <v>2</v>
      </c>
      <c r="BS309" s="36"/>
      <c r="BT309" t="s" s="24">
        <v>154</v>
      </c>
      <c r="BU309" s="36"/>
      <c r="BV309" s="15">
        <f>IF(BQ309&lt;(M309/0.3048)^0.5,1,IF(BU309="x",1-BR309*0.02,IF(BT309="x",1-BR309*0.01,1)))</f>
        <v>0.98</v>
      </c>
      <c r="BW309" s="7">
        <f>IF(K309="x",MIN(1.315,1.28+U309*N309/BJ309/AR309/1100),IF(L309="x",1.28,MAX(1.245,1.28-U309*N309/BJ309/AR309/1100)))</f>
        <v>1.245</v>
      </c>
      <c r="BX309" s="41">
        <f>BW309*T309*BV309*BP309*N309^0.3*BJ309^0.4/V309^0.325</f>
        <v>0.9523242757553163</v>
      </c>
      <c r="BY309" s="8"/>
      <c r="BZ309" s="8"/>
      <c r="CA309" t="s" s="31">
        <v>188</v>
      </c>
      <c r="CB309" t="s" s="31">
        <v>245</v>
      </c>
      <c r="CC309" t="s" s="19">
        <v>180</v>
      </c>
      <c r="CD309" s="3"/>
      <c r="CE309" s="3"/>
      <c r="CF309" s="3"/>
      <c r="CG309" t="s" s="30">
        <f>A309</f>
        <v>1860</v>
      </c>
    </row>
    <row r="310" ht="12.75" customHeight="1">
      <c r="A310" t="s" s="25">
        <v>1861</v>
      </c>
      <c r="B310" t="s" s="19">
        <v>1862</v>
      </c>
      <c r="C310" t="s" s="19">
        <v>1863</v>
      </c>
      <c r="D310" t="s" s="19">
        <v>710</v>
      </c>
      <c r="E310" t="s" s="19">
        <v>1864</v>
      </c>
      <c r="F310" s="3"/>
      <c r="G310" s="3"/>
      <c r="H310" s="32"/>
      <c r="I310" s="32"/>
      <c r="J310" t="s" s="24">
        <v>154</v>
      </c>
      <c r="K310" s="36"/>
      <c r="L310" s="36"/>
      <c r="M310" s="11">
        <v>8.99</v>
      </c>
      <c r="N310" s="5">
        <v>8.99</v>
      </c>
      <c r="O310" s="11">
        <v>5</v>
      </c>
      <c r="P310" s="11">
        <v>0.7</v>
      </c>
      <c r="Q310" s="37"/>
      <c r="R310" s="36"/>
      <c r="S310" s="36"/>
      <c r="T310" s="38">
        <f>IF(S310&gt;0,1.048,IF(R310&gt;0,1.048,IF(Q310&gt;0,1.036,0.907+1.55*(P310/N310)-4.449*(P310/N310)^2)))</f>
        <v>1.000716043409993</v>
      </c>
      <c r="U310" s="39">
        <v>2000</v>
      </c>
      <c r="V310" s="40">
        <f>IF(H310="x",75+U310,IF(M310&lt;6.66,150+U310,-1.7384*M310^2+92.38*M310-388+U310))</f>
        <v>2301.99853816</v>
      </c>
      <c r="W310" s="5"/>
      <c r="X310" s="5"/>
      <c r="Y310" s="5"/>
      <c r="Z310" s="5"/>
      <c r="AA310" s="5"/>
      <c r="AB310" s="5"/>
      <c r="AC310" s="5">
        <v>10.5</v>
      </c>
      <c r="AD310" s="33">
        <v>28</v>
      </c>
      <c r="AE310" s="5">
        <f>IF(AD310=0,(W310+4*X310+2*Y310+4*Z310+AA310)*AC310/12+W310*AB310/1.5,AD310)</f>
        <v>28</v>
      </c>
      <c r="AF310" s="11">
        <v>12</v>
      </c>
      <c r="AG310" s="11"/>
      <c r="AH310" s="5">
        <f>IF(AC310=0,AE310+AF310*AG310/2,AE310+AC310*AG310/2)</f>
        <v>28</v>
      </c>
      <c r="AI310" s="5">
        <v>10.2</v>
      </c>
      <c r="AJ310" s="3"/>
      <c r="AK310" s="33">
        <v>22</v>
      </c>
      <c r="AL310" s="5">
        <f>IF(AK310=0,AI310*AJ310/2,AK310)</f>
        <v>22</v>
      </c>
      <c r="AM310" s="3"/>
      <c r="AN310" s="5"/>
      <c r="AO310" s="5"/>
      <c r="AP310" s="5">
        <f>AL310+AI310*(AN310-AO310)/2</f>
        <v>22</v>
      </c>
      <c r="AQ310" s="5">
        <f>0.1*(AE310+AL310)</f>
        <v>5</v>
      </c>
      <c r="AR310" s="11">
        <v>12</v>
      </c>
      <c r="AS310" s="11"/>
      <c r="AT310" s="11"/>
      <c r="AU310" s="11"/>
      <c r="AV310" s="33"/>
      <c r="AW310" s="5">
        <f>IF(AV310=0,AS310/6*(AT310+AU310*4),AV310)</f>
        <v>0</v>
      </c>
      <c r="AX310" s="11">
        <v>0</v>
      </c>
      <c r="AY310" s="5">
        <f>IF(AX310&lt;0.149*M310+0.329,1,AX310/(0.149*M310+0.329))</f>
        <v>1</v>
      </c>
      <c r="AZ310" s="5">
        <f>IF(AW310*AY310&gt;AL310,(AW310*AY310-AL310)/4,0)</f>
        <v>0</v>
      </c>
      <c r="BA310" s="12">
        <f>0.401+0.1831*(2*AR310^2/(AH310+AP310+AZ310))-0.02016*(2*AR310^2/(AH310+AP310+AZ310))^2+0.0007472*(2*AR310^2/(AH310+AP310+AZ310))^3</f>
        <v>0.9295877276672</v>
      </c>
      <c r="BB310" s="3"/>
      <c r="BC310" s="3"/>
      <c r="BD310" s="3"/>
      <c r="BE310" s="3"/>
      <c r="BF310" s="33">
        <v>55</v>
      </c>
      <c r="BG310" s="5">
        <f>IF(BF310=0,(BC310+BD310)*(BB310/12+BE310/3),BF310)</f>
        <v>55</v>
      </c>
      <c r="BH310" s="5">
        <f>IF(BG310*AY310&gt;AL310+AZ310,BG310*AY310-AL310-AZ310,0)</f>
        <v>33</v>
      </c>
      <c r="BI310" s="5">
        <f>IF(M310/1.6&lt;8,ROUND(M310/1.6,0),8)</f>
        <v>6</v>
      </c>
      <c r="BJ310" s="5">
        <f>(AH310+AP310+AZ310)*BA310+0.1*BH310</f>
        <v>49.779386383360</v>
      </c>
      <c r="BK310" s="11">
        <v>1.8</v>
      </c>
      <c r="BL310" s="5">
        <f>M310*0.2</f>
        <v>1.798</v>
      </c>
      <c r="BM310" s="5">
        <f>ROUNDDOWN(M310/2.13,0)</f>
        <v>4</v>
      </c>
      <c r="BN310" s="12">
        <f>M310/4.26</f>
        <v>2.110328638497653</v>
      </c>
      <c r="BO310" s="5">
        <f>IF(M310&lt;8,1.22,IF(M310&lt;15.2,0.108333*M310+0.353,2))</f>
        <v>1.32691367</v>
      </c>
      <c r="BP310" s="12">
        <f>IF(BK310&lt;BO310,1+0.3*(BO310-BK310)/M310,1)</f>
        <v>1</v>
      </c>
      <c r="BQ310" s="32"/>
      <c r="BR310" s="39">
        <v>0</v>
      </c>
      <c r="BS310" t="s" s="24">
        <v>154</v>
      </c>
      <c r="BT310" s="36"/>
      <c r="BU310" s="36"/>
      <c r="BV310" s="5">
        <f>IF(BQ310&lt;(M310/0.3048)^0.5,1,IF(BU310="x",1-BR310*0.02,IF(BT310="x",1-BR310*0.01,1)))</f>
        <v>1</v>
      </c>
      <c r="BW310" s="12">
        <f>IF(K310="x",MIN(1.315,1.28+U310*N310/BJ310/AR310/1100),IF(L310="x",1.28,MAX(1.245,1.28-U310*N310/BJ310/AR310/1100)))</f>
        <v>1.252636842052827</v>
      </c>
      <c r="BX310" s="41">
        <f>BW310*T310*BV310*BP310*N310^0.3*BJ310^0.4/V310^0.325</f>
        <v>0.934113453891033</v>
      </c>
      <c r="BY310" s="29"/>
      <c r="BZ310" s="48"/>
      <c r="CA310" t="s" s="19">
        <v>213</v>
      </c>
      <c r="CB310" t="s" s="19">
        <v>430</v>
      </c>
      <c r="CC310" t="s" s="19">
        <v>180</v>
      </c>
      <c r="CD310" s="3"/>
      <c r="CE310" s="3"/>
      <c r="CF310" s="3"/>
      <c r="CG310" t="s" s="30">
        <f>A310</f>
        <v>1865</v>
      </c>
    </row>
    <row r="311" ht="12.75" customHeight="1">
      <c r="A311" t="s" s="53">
        <v>1866</v>
      </c>
      <c r="B311" t="s" s="54">
        <v>1867</v>
      </c>
      <c r="C311" t="s" s="54">
        <v>1868</v>
      </c>
      <c r="D311" s="55"/>
      <c r="E311" t="s" s="54">
        <v>1869</v>
      </c>
      <c r="F311" s="55"/>
      <c r="G311" t="s" s="54">
        <v>1870</v>
      </c>
      <c r="H311" s="56"/>
      <c r="I311" s="56"/>
      <c r="J311" t="s" s="58">
        <v>154</v>
      </c>
      <c r="K311" s="57"/>
      <c r="L311" s="57"/>
      <c r="M311" s="59">
        <v>8</v>
      </c>
      <c r="N311" s="60">
        <v>7.9</v>
      </c>
      <c r="O311" s="59">
        <v>5.65</v>
      </c>
      <c r="P311" s="59"/>
      <c r="Q311" s="61"/>
      <c r="R311" s="77">
        <v>1.1</v>
      </c>
      <c r="S311" s="57"/>
      <c r="T311" s="63">
        <f>IF(S311&gt;0,1.048,IF(R311&gt;0,1.048,IF(Q311&gt;0,1.036,0.907+1.55*(P311/N311)-4.449*(P311/N311)^2)))</f>
        <v>1.048</v>
      </c>
      <c r="U311" s="62">
        <v>760</v>
      </c>
      <c r="V311" s="64">
        <f>IF(H311="x",75+U311,IF(M311&lt;6.66,150+U311,-1.7384*M311^2+92.38*M311-388+U311))</f>
        <v>999.7823999999999</v>
      </c>
      <c r="W311" s="60">
        <v>3.6</v>
      </c>
      <c r="X311" s="60">
        <v>3.28</v>
      </c>
      <c r="Y311" s="60">
        <v>2.76</v>
      </c>
      <c r="Z311" s="60">
        <v>1.82</v>
      </c>
      <c r="AA311" s="60">
        <v>0.19</v>
      </c>
      <c r="AB311" s="60">
        <v>0.05</v>
      </c>
      <c r="AC311" s="60">
        <v>10.28</v>
      </c>
      <c r="AD311" s="65"/>
      <c r="AE311" s="60">
        <f>IF(AD311=0,(W311+4*X311+2*Y311+4*Z311+AA311)*AC311/12+W311*AB311/1.5,AD311)</f>
        <v>25.57156666666667</v>
      </c>
      <c r="AF311" s="59"/>
      <c r="AG311" s="59">
        <v>0.49</v>
      </c>
      <c r="AH311" s="60">
        <f>IF(AC311=0,AE311+AF311*AG311/2,AE311+AC311*AG311/2)</f>
        <v>28.09016666666666</v>
      </c>
      <c r="AI311" s="60">
        <v>8.550000000000001</v>
      </c>
      <c r="AJ311" s="60">
        <v>2.53</v>
      </c>
      <c r="AK311" s="65"/>
      <c r="AL311" s="60">
        <f>IF(AK311=0,AI311*AJ311/2,AK311)</f>
        <v>10.81575</v>
      </c>
      <c r="AM311" t="s" s="54">
        <v>154</v>
      </c>
      <c r="AN311" s="60"/>
      <c r="AO311" s="60"/>
      <c r="AP311" s="60">
        <f>AL311+AI311*(AN311-AO311)/2</f>
        <v>10.81575</v>
      </c>
      <c r="AQ311" s="60">
        <f>0.1*(AE311+AL311)</f>
        <v>3.638731666666667</v>
      </c>
      <c r="AR311" s="59">
        <v>11.33</v>
      </c>
      <c r="AS311" s="59"/>
      <c r="AT311" s="59"/>
      <c r="AU311" s="59"/>
      <c r="AV311" s="65"/>
      <c r="AW311" s="5">
        <f>IF(AV311=0,AS311/6*(AT311+AU311*4),AV311)</f>
        <v>0</v>
      </c>
      <c r="AX311" s="59">
        <v>0.98</v>
      </c>
      <c r="AY311" s="60">
        <f>IF(AX311&lt;0.149*M311+0.329,1,AX311/(0.149*M311+0.329))</f>
        <v>1</v>
      </c>
      <c r="AZ311" s="5">
        <f>IF(AW311*AY311&gt;AL311,(AW311*AY311-AL311)/4,0)</f>
        <v>0</v>
      </c>
      <c r="BA311" s="66">
        <f>0.401+0.1831*(2*AR311^2/(AH311+AP311+AZ311))-0.02016*(2*AR311^2/(AH311+AP311+AZ311))^2+0.0007472*(2*AR311^2/(AH311+AP311+AZ311))^3</f>
        <v>0.9460918914871752</v>
      </c>
      <c r="BB311" s="60">
        <v>7.09</v>
      </c>
      <c r="BC311" s="60">
        <v>9.75</v>
      </c>
      <c r="BD311" s="60">
        <v>9</v>
      </c>
      <c r="BE311" s="60">
        <v>4.82</v>
      </c>
      <c r="BF311" s="65"/>
      <c r="BG311" s="60">
        <f>IF(BF311=0,(BC311+BD311)*(BB311/12+BE311/3),BF311)</f>
        <v>41.20312499999999</v>
      </c>
      <c r="BH311" s="60">
        <f>IF(BG311*AY311&gt;AL311+AZ311,BG311*AY311-AL311-AZ311,0)</f>
        <v>30.38737499999999</v>
      </c>
      <c r="BI311" s="60">
        <f>IF(M311/1.6&lt;8,ROUND(M311/1.6,0),8)</f>
        <v>5</v>
      </c>
      <c r="BJ311" s="60">
        <f>(AH311+AP311+AZ311)*BA311+0.1*BH311</f>
        <v>39.84730978920907</v>
      </c>
      <c r="BK311" s="59">
        <v>1.24</v>
      </c>
      <c r="BL311" s="60">
        <f>M311*0.2</f>
        <v>1.6</v>
      </c>
      <c r="BM311" s="60">
        <f>ROUNDDOWN(M311/2.13,0)</f>
        <v>3</v>
      </c>
      <c r="BN311" s="66">
        <f>M311/4.26</f>
        <v>1.877934272300469</v>
      </c>
      <c r="BO311" s="60">
        <f>IF(M311&lt;8,1.22,IF(M311&lt;15.2,0.108333*M311+0.353,2))</f>
        <v>1.219664</v>
      </c>
      <c r="BP311" s="66">
        <f>IF(BK311&lt;BO311,1+0.3*(BO311-BK311)/M311,1)</f>
        <v>1</v>
      </c>
      <c r="BQ311" s="56"/>
      <c r="BR311" s="56"/>
      <c r="BS311" t="s" s="58">
        <v>154</v>
      </c>
      <c r="BT311" s="57"/>
      <c r="BU311" s="57"/>
      <c r="BV311" s="60">
        <f>IF(BQ311&lt;(M311/0.3048)^0.5,1,IF(BU311="x",1-BR311*0.02,IF(BT311="x",1-BR311*0.01,1)))</f>
        <v>1</v>
      </c>
      <c r="BW311" s="66">
        <f>IF(K311="x",MIN(1.315,1.28+U311*N311/BJ311/AR311/1100),IF(L311="x",1.28,MAX(1.245,1.28-U311*N311/BJ311/AR311/1100)))</f>
        <v>1.267910200949226</v>
      </c>
      <c r="BX311" s="67">
        <f>BW311*T311*BV311*BP311*N311^0.3*BJ311^0.4/V311^0.325</f>
        <v>1.142689469468605</v>
      </c>
      <c r="BY311" s="29"/>
      <c r="BZ311" s="48"/>
      <c r="CA311" t="s" s="54">
        <v>589</v>
      </c>
      <c r="CB311" t="s" s="54">
        <v>1871</v>
      </c>
      <c r="CC311" t="s" s="19">
        <v>254</v>
      </c>
      <c r="CD311" t="s" s="19">
        <v>1872</v>
      </c>
      <c r="CE311" s="86"/>
      <c r="CF311" s="3"/>
      <c r="CG311" t="s" s="30">
        <f>A311</f>
        <v>1873</v>
      </c>
    </row>
    <row r="312" ht="12.75" customHeight="1">
      <c r="A312" t="s" s="25">
        <v>1874</v>
      </c>
      <c r="B312" t="s" s="19">
        <v>1875</v>
      </c>
      <c r="C312" t="s" s="19">
        <v>1876</v>
      </c>
      <c r="D312" t="s" s="19">
        <v>1877</v>
      </c>
      <c r="E312" t="s" s="19">
        <v>1878</v>
      </c>
      <c r="F312" s="3"/>
      <c r="G312" s="3"/>
      <c r="H312" s="32"/>
      <c r="I312" s="32"/>
      <c r="J312" t="s" s="24">
        <v>154</v>
      </c>
      <c r="K312" s="36"/>
      <c r="L312" s="36"/>
      <c r="M312" s="11">
        <v>11</v>
      </c>
      <c r="N312" s="5">
        <v>10.6</v>
      </c>
      <c r="O312" s="11"/>
      <c r="P312" s="11"/>
      <c r="Q312" s="37"/>
      <c r="R312" t="s" s="24">
        <v>161</v>
      </c>
      <c r="S312" s="36"/>
      <c r="T312" s="38">
        <f>IF(S312&gt;0,1.048,IF(R312&gt;0,1.048,IF(Q312&gt;0,1.036,0.907+1.55*(P312/N312)-4.449*(P312/N312)^2)))</f>
        <v>1.048</v>
      </c>
      <c r="U312" s="39">
        <v>2000</v>
      </c>
      <c r="V312" s="40">
        <f>IF(H312="x",75+U312,IF(M312&lt;6.66,150+U312,-1.7384*M312^2+92.38*M312-388+U312))</f>
        <v>2417.8336</v>
      </c>
      <c r="W312" s="5"/>
      <c r="X312" s="5"/>
      <c r="Y312" s="5"/>
      <c r="Z312" s="5"/>
      <c r="AA312" s="5"/>
      <c r="AB312" s="5"/>
      <c r="AC312" s="5">
        <v>15</v>
      </c>
      <c r="AD312" s="33">
        <v>50</v>
      </c>
      <c r="AE312" s="5">
        <f>IF(AD312=0,(W312+4*X312+2*Y312+4*Z312+AA312)*AC312/12+W312*AB312/1.5,AD312)</f>
        <v>50</v>
      </c>
      <c r="AF312" s="11">
        <v>15.8</v>
      </c>
      <c r="AG312" s="11">
        <v>0.7</v>
      </c>
      <c r="AH312" s="5">
        <f>IF(AC312=0,AE312+AF312*AG312/2,AE312+AC312*AG312/2)</f>
        <v>55.25</v>
      </c>
      <c r="AI312" s="3"/>
      <c r="AJ312" s="3"/>
      <c r="AK312" s="33">
        <v>18</v>
      </c>
      <c r="AL312" s="5">
        <f>IF(AK312=0,AI312*AJ312/2,AK312)</f>
        <v>18</v>
      </c>
      <c r="AM312" s="3"/>
      <c r="AN312" s="5"/>
      <c r="AO312" s="5"/>
      <c r="AP312" s="5">
        <f>AL312+AI312*(AN312-AO312)/2</f>
        <v>18</v>
      </c>
      <c r="AQ312" s="5">
        <f>0.1*(AE312+AL312)</f>
        <v>6.800000000000001</v>
      </c>
      <c r="AR312" s="11">
        <v>16.3</v>
      </c>
      <c r="AS312" s="11"/>
      <c r="AT312" s="11"/>
      <c r="AU312" s="11"/>
      <c r="AV312" s="33">
        <v>45</v>
      </c>
      <c r="AW312" s="5">
        <f>IF(AV312=0,AS312/6*(AT312+AU312*4),AV312)</f>
        <v>45</v>
      </c>
      <c r="AX312" s="11">
        <v>1.5</v>
      </c>
      <c r="AY312" s="5">
        <f>IF(AX312&lt;0.149*M312+0.329,1,AX312/(0.149*M312+0.329))</f>
        <v>1</v>
      </c>
      <c r="AZ312" s="5">
        <f>IF(AW312*AY312&gt;AL312,(AW312*AY312-AL312)/4,0)</f>
        <v>6.75</v>
      </c>
      <c r="BA312" s="12">
        <f>0.401+0.1831*(2*AR312^2/(AH312+AP312+AZ312))-0.02016*(2*AR312^2/(AH312+AP312+AZ312))^2+0.0007472*(2*AR312^2/(AH312+AP312+AZ312))^3</f>
        <v>0.9467160959632551</v>
      </c>
      <c r="BB312" s="3"/>
      <c r="BC312" s="3"/>
      <c r="BD312" s="3"/>
      <c r="BE312" s="3"/>
      <c r="BF312" s="33">
        <v>90</v>
      </c>
      <c r="BG312" s="5">
        <f>IF(BF312=0,(BC312+BD312)*(BB312/12+BE312/3),BF312)</f>
        <v>90</v>
      </c>
      <c r="BH312" s="5">
        <f>IF(BG312*AY312&gt;AL312+AZ312,BG312*AY312-AL312-AZ312,0)</f>
        <v>65.25</v>
      </c>
      <c r="BI312" s="5">
        <f>IF(M312/1.6&lt;8,ROUND(M312/1.6,0),8)</f>
        <v>7</v>
      </c>
      <c r="BJ312" s="5">
        <f>(AH312+AP312+AZ312)*BA312+0.1*BH312</f>
        <v>82.26228767706041</v>
      </c>
      <c r="BK312" s="11">
        <v>2</v>
      </c>
      <c r="BL312" s="5">
        <f>M312*0.2</f>
        <v>2.2</v>
      </c>
      <c r="BM312" s="5">
        <f>ROUNDDOWN(M312/2.13,0)</f>
        <v>5</v>
      </c>
      <c r="BN312" s="12">
        <f>M312/4.26</f>
        <v>2.582159624413146</v>
      </c>
      <c r="BO312" s="5">
        <f>IF(M312&lt;8,1.22,IF(M312&lt;15.2,0.108333*M312+0.353,2))</f>
        <v>1.544663</v>
      </c>
      <c r="BP312" s="12">
        <f>IF(BK312&lt;BO312,1+0.3*(BO312-BK312)/M312,1)</f>
        <v>1</v>
      </c>
      <c r="BQ312" s="32"/>
      <c r="BR312" s="39">
        <v>0</v>
      </c>
      <c r="BS312" t="s" s="24">
        <v>154</v>
      </c>
      <c r="BT312" s="36"/>
      <c r="BU312" s="36"/>
      <c r="BV312" s="5">
        <f>IF(BQ312&lt;(M312/0.3048)^0.5,1,IF(BU312="x",1-BR312*0.02,IF(BT312="x",1-BR312*0.01,1)))</f>
        <v>1</v>
      </c>
      <c r="BW312" s="12">
        <f>IF(K312="x",MIN(1.315,1.28+U312*N312/BJ312/AR312/1100),IF(L312="x",1.28,MAX(1.245,1.28-U312*N312/BJ312/AR312/1100)))</f>
        <v>1.265626756321877</v>
      </c>
      <c r="BX312" s="41">
        <f>BW312*T312*BV312*BP312*N312^0.3*BJ312^0.4/V312^0.325</f>
        <v>1.249468811980112</v>
      </c>
      <c r="BY312" s="29"/>
      <c r="BZ312" s="48"/>
      <c r="CA312" t="s" s="19">
        <v>162</v>
      </c>
      <c r="CB312" t="s" s="19">
        <v>163</v>
      </c>
      <c r="CC312" t="s" s="19">
        <v>180</v>
      </c>
      <c r="CD312" s="3"/>
      <c r="CE312" s="3"/>
      <c r="CF312" s="3"/>
      <c r="CG312" t="s" s="30">
        <f>A312</f>
        <v>1879</v>
      </c>
    </row>
    <row r="313" ht="12.75" customHeight="1">
      <c r="A313" t="s" s="25">
        <v>1880</v>
      </c>
      <c r="B313" t="s" s="19">
        <v>1652</v>
      </c>
      <c r="C313" t="s" s="19">
        <v>213</v>
      </c>
      <c r="D313" t="s" s="19">
        <v>1404</v>
      </c>
      <c r="E313" t="s" s="19">
        <v>557</v>
      </c>
      <c r="F313" s="3"/>
      <c r="G313" s="42">
        <v>1</v>
      </c>
      <c r="H313" s="32"/>
      <c r="I313" s="32"/>
      <c r="J313" t="s" s="24">
        <v>154</v>
      </c>
      <c r="K313" s="36"/>
      <c r="L313" s="36"/>
      <c r="M313" s="11">
        <v>7.96</v>
      </c>
      <c r="N313" s="5">
        <v>7.96</v>
      </c>
      <c r="O313" s="11">
        <v>5.31</v>
      </c>
      <c r="P313" s="11"/>
      <c r="Q313" s="37"/>
      <c r="R313" t="s" s="24">
        <v>1881</v>
      </c>
      <c r="S313" s="36"/>
      <c r="T313" s="38">
        <f>IF(S313&gt;0,1.048,IF(R313&gt;0,1.048,IF(Q313&gt;0,1.036,0.907+1.55*(P313/N313)-4.449*(P313/N313)^2)))</f>
        <v>1.048</v>
      </c>
      <c r="U313" s="39">
        <v>1087</v>
      </c>
      <c r="V313" s="40">
        <f>IF(H313="x",75+U313,IF(M313&lt;6.66,150+U313,-1.7384*M313^2+92.38*M313-388+U313))</f>
        <v>1324.19699456</v>
      </c>
      <c r="W313" s="5">
        <v>3.37</v>
      </c>
      <c r="X313" s="5">
        <v>3.42</v>
      </c>
      <c r="Y313" s="5">
        <v>3.26</v>
      </c>
      <c r="Z313" s="5">
        <v>2.76</v>
      </c>
      <c r="AA313" s="5">
        <v>0.27</v>
      </c>
      <c r="AB313" s="5">
        <v>0.1</v>
      </c>
      <c r="AC313" s="5">
        <v>11.76</v>
      </c>
      <c r="AD313" s="33"/>
      <c r="AE313" s="5">
        <f>IF(AD313=0,(W313+4*X313+2*Y313+4*Z313+AA313)*AC313/12+W313*AB313/1.5,AD313)</f>
        <v>34.40706666666667</v>
      </c>
      <c r="AF313" s="11">
        <v>12.6</v>
      </c>
      <c r="AG313" s="11">
        <v>0.485</v>
      </c>
      <c r="AH313" s="5">
        <f>IF(AC313=0,AE313+AF313*AG313/2,AE313+AC313*AG313/2)</f>
        <v>37.25886666666666</v>
      </c>
      <c r="AI313" s="5">
        <v>10.57</v>
      </c>
      <c r="AJ313" s="5">
        <v>2.35</v>
      </c>
      <c r="AK313" s="33"/>
      <c r="AL313" s="5">
        <f>IF(AK313=0,AI313*AJ313/2,AK313)</f>
        <v>12.41975</v>
      </c>
      <c r="AM313" s="3"/>
      <c r="AN313" s="5"/>
      <c r="AO313" s="5"/>
      <c r="AP313" s="5">
        <f>AL313+AI313*(AN313-AO313)/2</f>
        <v>12.41975</v>
      </c>
      <c r="AQ313" s="5">
        <f>0.1*(AE313+AL313)</f>
        <v>4.682681666666666</v>
      </c>
      <c r="AR313" s="11">
        <v>12.3</v>
      </c>
      <c r="AS313" s="11"/>
      <c r="AT313" s="11"/>
      <c r="AU313" s="11"/>
      <c r="AV313" s="33"/>
      <c r="AW313" s="5">
        <f>IF(AV313=0,AS313/6*(AT313+AU313*4),AV313)</f>
        <v>0</v>
      </c>
      <c r="AX313" s="11">
        <v>1.5</v>
      </c>
      <c r="AY313" s="5">
        <f>IF(AX313&lt;0.149*M313+0.329,1,AX313/(0.149*M313+0.329))</f>
        <v>1</v>
      </c>
      <c r="AZ313" s="5">
        <f>IF(AW313*AY313&gt;AL313,(AW313*AY313-AL313)/4,0)</f>
        <v>0</v>
      </c>
      <c r="BA313" s="12">
        <f>0.401+0.1831*(2*AR313^2/(AH313+AP313+AZ313))-0.02016*(2*AR313^2/(AH313+AP313+AZ313))^2+0.0007472*(2*AR313^2/(AH313+AP313+AZ313))^3</f>
        <v>0.9371658723771145</v>
      </c>
      <c r="BB313" s="3"/>
      <c r="BC313" s="3"/>
      <c r="BD313" s="3"/>
      <c r="BE313" s="3"/>
      <c r="BF313" s="33">
        <v>60</v>
      </c>
      <c r="BG313" s="5">
        <f>IF(BF313=0,(BC313+BD313)*(BB313/12+BE313/3),BF313)</f>
        <v>60</v>
      </c>
      <c r="BH313" s="5">
        <f>IF(BG313*AY313&gt;AL313+AZ313,BG313*AY313-AL313-AZ313,0)</f>
        <v>47.58025</v>
      </c>
      <c r="BI313" s="5">
        <f>IF(M313/1.6&lt;8,ROUND(M313/1.6,0),8)</f>
        <v>5</v>
      </c>
      <c r="BJ313" s="5">
        <f>(AH313+AP313+AZ313)*BA313+0.1*BH313</f>
        <v>51.31512912690492</v>
      </c>
      <c r="BK313" s="11">
        <v>1.22</v>
      </c>
      <c r="BL313" s="5">
        <f>M313*0.2</f>
        <v>1.592</v>
      </c>
      <c r="BM313" s="5">
        <f>ROUNDDOWN(M313/2.13,0)</f>
        <v>3</v>
      </c>
      <c r="BN313" s="12">
        <f>M313/4.26</f>
        <v>1.868544600938967</v>
      </c>
      <c r="BO313" s="5">
        <f>IF(M313&lt;8,1.22,IF(M313&lt;15.2,0.108333*M313+0.353,2))</f>
        <v>1.22</v>
      </c>
      <c r="BP313" s="12">
        <f>IF(BK313&lt;BO313,1+0.3*(BO313-BK313)/M313,1)</f>
        <v>1</v>
      </c>
      <c r="BQ313" s="32"/>
      <c r="BR313" s="32"/>
      <c r="BS313" t="s" s="24">
        <v>154</v>
      </c>
      <c r="BT313" s="36"/>
      <c r="BU313" s="36"/>
      <c r="BV313" s="5">
        <f>IF(BQ313&lt;(M313/0.3048)^0.5,1,IF(BU313="x",1-BR313*0.02,IF(BT313="x",1-BR313*0.01,1)))</f>
        <v>1</v>
      </c>
      <c r="BW313" s="12">
        <f>IF(K313="x",MIN(1.315,1.28+U313*N313/BJ313/AR313/1100),IF(L313="x",1.28,MAX(1.245,1.28-U313*N313/BJ313/AR313/1100)))</f>
        <v>1.267537665923942</v>
      </c>
      <c r="BX313" s="41">
        <f>BW313*T313*BV313*BP313*N313^0.3*BJ313^0.4/V313^0.325</f>
        <v>1.156271051410142</v>
      </c>
      <c r="BY313" s="29"/>
      <c r="BZ313" s="48"/>
      <c r="CA313" t="s" s="19">
        <v>162</v>
      </c>
      <c r="CB313" t="s" s="19">
        <v>1321</v>
      </c>
      <c r="CC313" t="s" s="19">
        <v>254</v>
      </c>
      <c r="CD313" t="s" s="19">
        <v>415</v>
      </c>
      <c r="CE313" s="3"/>
      <c r="CF313" s="3"/>
      <c r="CG313" t="s" s="30">
        <f>A313</f>
        <v>1882</v>
      </c>
    </row>
    <row r="314" ht="12.75" customHeight="1">
      <c r="A314" t="s" s="25">
        <v>1883</v>
      </c>
      <c r="B314" t="s" s="19">
        <v>1884</v>
      </c>
      <c r="C314" t="s" s="19">
        <v>828</v>
      </c>
      <c r="D314" t="s" s="19">
        <v>828</v>
      </c>
      <c r="E314" t="s" s="19">
        <v>1885</v>
      </c>
      <c r="F314" t="s" s="19">
        <v>1886</v>
      </c>
      <c r="G314" t="s" s="19">
        <v>1887</v>
      </c>
      <c r="H314" s="32"/>
      <c r="I314" s="32"/>
      <c r="J314" s="36"/>
      <c r="K314" t="s" s="24">
        <v>154</v>
      </c>
      <c r="L314" s="36"/>
      <c r="M314" s="11">
        <v>9.199999999999999</v>
      </c>
      <c r="N314" s="5">
        <v>9.1</v>
      </c>
      <c r="O314" s="11">
        <v>6.75</v>
      </c>
      <c r="P314" s="11"/>
      <c r="Q314" t="s" s="24">
        <v>197</v>
      </c>
      <c r="R314" s="36"/>
      <c r="S314" s="36"/>
      <c r="T314" s="38">
        <f>IF(S314&gt;0,1.048,IF(R314&gt;0,1.048,IF(Q314&gt;0,1.036,0.907+1.55*(P314/N314)-4.449*(P314/N314)^2)))</f>
        <v>1.036</v>
      </c>
      <c r="U314" s="39">
        <v>2000</v>
      </c>
      <c r="V314" s="40">
        <f>IF(H314="x",75+U314,IF(M314&lt;6.66,150+U314,-1.7384*M314^2+92.38*M314-388+U314))</f>
        <v>2314.757824</v>
      </c>
      <c r="W314" s="5"/>
      <c r="X314" s="5"/>
      <c r="Y314" s="5"/>
      <c r="Z314" s="5"/>
      <c r="AA314" s="5"/>
      <c r="AB314" s="5"/>
      <c r="AC314" s="5"/>
      <c r="AD314" s="33">
        <v>39</v>
      </c>
      <c r="AE314" s="5">
        <f>IF(AD314=0,(W314+4*X314+2*Y314+4*Z314+AA314)*AC314/12+W314*AB314/1.5,AD314)</f>
        <v>39</v>
      </c>
      <c r="AF314" s="11">
        <v>13.1</v>
      </c>
      <c r="AG314" s="11"/>
      <c r="AH314" s="5">
        <f>IF(AC314=0,AE314+AF314*AG314/2,AE314+AC314*AG314/2)</f>
        <v>39</v>
      </c>
      <c r="AI314" s="90">
        <v>11</v>
      </c>
      <c r="AJ314" s="3"/>
      <c r="AK314" s="33">
        <v>22</v>
      </c>
      <c r="AL314" s="5">
        <f>IF(AK314=0,AI314*AJ314/2,AK314)</f>
        <v>22</v>
      </c>
      <c r="AM314" s="3"/>
      <c r="AN314" s="5"/>
      <c r="AO314" s="5">
        <v>0.1</v>
      </c>
      <c r="AP314" s="5">
        <f>AL314+AI314*(AN314-AO314)/2</f>
        <v>21.45</v>
      </c>
      <c r="AQ314" s="5">
        <f>0.1*(AE314+AL314)</f>
        <v>6.100000000000001</v>
      </c>
      <c r="AR314" s="11">
        <v>13.3</v>
      </c>
      <c r="AS314" s="11"/>
      <c r="AT314" s="11"/>
      <c r="AU314" s="11"/>
      <c r="AV314" s="33"/>
      <c r="AW314" s="5">
        <f>IF(AV314=0,AS314/6*(AT314+AU314*4),AV314)</f>
        <v>0</v>
      </c>
      <c r="AX314" s="11">
        <v>1.2</v>
      </c>
      <c r="AY314" s="5">
        <f>IF(AX314&lt;0.149*M314+0.329,1,AX314/(0.149*M314+0.329))</f>
        <v>1</v>
      </c>
      <c r="AZ314" s="5">
        <f>IF(AW314*AY314&gt;AL314,(AW314*AY314-AL314)/4,0)</f>
        <v>0</v>
      </c>
      <c r="BA314" s="12">
        <f>0.401+0.1831*(2*AR314^2/(AH314+AP314+AZ314))-0.02016*(2*AR314^2/(AH314+AP314+AZ314))^2+0.0007472*(2*AR314^2/(AH314+AP314+AZ314))^3</f>
        <v>0.9318584294695791</v>
      </c>
      <c r="BB314" s="3"/>
      <c r="BC314" s="3"/>
      <c r="BD314" s="3"/>
      <c r="BE314" s="3"/>
      <c r="BF314" s="33">
        <v>70</v>
      </c>
      <c r="BG314" s="5">
        <f>IF(BF314=0,(BC314+BD314)*(BB314/12+BE314/3),BF314)</f>
        <v>70</v>
      </c>
      <c r="BH314" s="5">
        <f>IF(BG314*AY314&gt;AL314+AZ314,BG314*AY314-AL314-AZ314,0)</f>
        <v>48</v>
      </c>
      <c r="BI314" s="5">
        <f>IF(M314/1.6&lt;8,ROUND(M314/1.6,0),8)</f>
        <v>6</v>
      </c>
      <c r="BJ314" s="5">
        <f>(AH314+AP314+AZ314)*BA314+0.1*BH314</f>
        <v>61.13084206143606</v>
      </c>
      <c r="BK314" s="11">
        <v>1.8</v>
      </c>
      <c r="BL314" s="5">
        <f>M314*0.2</f>
        <v>1.84</v>
      </c>
      <c r="BM314" s="5">
        <f>ROUNDDOWN(M314/2.13,0)</f>
        <v>4</v>
      </c>
      <c r="BN314" s="12">
        <f>M314/4.26</f>
        <v>2.15962441314554</v>
      </c>
      <c r="BO314" s="5">
        <f>IF(M314&lt;8,1.22,IF(M314&lt;15.2,0.108333*M314+0.353,2))</f>
        <v>1.3496636</v>
      </c>
      <c r="BP314" s="12">
        <f>IF(BK314&lt;BO314,1+0.3*(BO314-BK314)/M314,1)</f>
        <v>1</v>
      </c>
      <c r="BQ314" s="39">
        <v>6</v>
      </c>
      <c r="BR314" s="39">
        <v>0</v>
      </c>
      <c r="BS314" t="s" s="24">
        <v>154</v>
      </c>
      <c r="BT314" s="36"/>
      <c r="BU314" s="36"/>
      <c r="BV314" s="5">
        <f>IF(BQ314&lt;(M314/0.3048)^0.5,1,IF(BU314="x",1-BR314*0.02,IF(BT314="x",1-BR314*0.01,1)))</f>
        <v>1</v>
      </c>
      <c r="BW314" s="12">
        <f>IF(K314="x",MIN(1.315,1.28+U314*N314/BJ314/AR314/1100),IF(L314="x",1.28,MAX(1.245,1.28-U314*N314/BJ314/AR314/1100)))</f>
        <v>1.300350106375203</v>
      </c>
      <c r="BX314" s="41">
        <f>BW314*T314*BV314*BP314*N314^0.3*BJ314^0.4/V314^0.325</f>
        <v>1.091873472242522</v>
      </c>
      <c r="BY314" s="29"/>
      <c r="BZ314" s="29"/>
      <c r="CA314" s="3"/>
      <c r="CB314" s="3"/>
      <c r="CC314" s="3"/>
      <c r="CD314" s="3"/>
      <c r="CE314" s="3"/>
      <c r="CF314" s="3"/>
      <c r="CG314" t="s" s="30">
        <f>A314</f>
        <v>1888</v>
      </c>
    </row>
    <row r="315" ht="12.75" customHeight="1">
      <c r="A315" t="s" s="25">
        <v>1889</v>
      </c>
      <c r="B315" t="s" s="19">
        <v>1115</v>
      </c>
      <c r="C315" t="s" s="19">
        <v>754</v>
      </c>
      <c r="D315" t="s" s="19">
        <v>427</v>
      </c>
      <c r="E315" s="3"/>
      <c r="F315" s="3"/>
      <c r="G315" s="3"/>
      <c r="H315" s="32"/>
      <c r="I315" s="32"/>
      <c r="J315" t="s" s="24">
        <v>154</v>
      </c>
      <c r="K315" s="36"/>
      <c r="L315" s="36"/>
      <c r="M315" s="11">
        <v>8.5</v>
      </c>
      <c r="N315" s="5">
        <v>8.5</v>
      </c>
      <c r="O315" s="11">
        <v>5.06</v>
      </c>
      <c r="P315" s="11"/>
      <c r="Q315" s="37"/>
      <c r="R315" t="s" s="24">
        <v>1890</v>
      </c>
      <c r="S315" s="36"/>
      <c r="T315" s="38">
        <f>IF(S315&gt;0,1.048,IF(R315&gt;0,1.048,IF(Q315&gt;0,1.036,0.907+1.55*(P315/N315)-4.449*(P315/N315)^2)))</f>
        <v>1.048</v>
      </c>
      <c r="U315" s="39">
        <v>950</v>
      </c>
      <c r="V315" s="40">
        <f>IF(H315="x",75+U315,IF(M315&lt;6.66,150+U315,-1.7384*M315^2+92.38*M315-388+U315))</f>
        <v>1221.6306</v>
      </c>
      <c r="W315" s="5"/>
      <c r="X315" s="5"/>
      <c r="Y315" s="5"/>
      <c r="Z315" s="5"/>
      <c r="AA315" s="5"/>
      <c r="AB315" s="5"/>
      <c r="AC315" s="5">
        <v>9.800000000000001</v>
      </c>
      <c r="AD315" s="33">
        <v>28</v>
      </c>
      <c r="AE315" s="5">
        <f>IF(AD315=0,(W315+4*X315+2*Y315+4*Z315+AA315)*AC315/12+W315*AB315/1.5,AD315)</f>
        <v>28</v>
      </c>
      <c r="AF315" s="11">
        <v>10.5</v>
      </c>
      <c r="AG315" s="11">
        <v>0.47</v>
      </c>
      <c r="AH315" s="5">
        <f>IF(AC315=0,AE315+AF315*AG315/2,AE315+AC315*AG315/2)</f>
        <v>30.303</v>
      </c>
      <c r="AI315" s="3"/>
      <c r="AJ315" s="3"/>
      <c r="AK315" s="33">
        <v>17</v>
      </c>
      <c r="AL315" s="5">
        <f>IF(AK315=0,AI315*AJ315/2,AK315)</f>
        <v>17</v>
      </c>
      <c r="AM315" s="3"/>
      <c r="AN315" s="5"/>
      <c r="AO315" s="5"/>
      <c r="AP315" s="5">
        <f>AL315+AI315*(AN315-AO315)/2</f>
        <v>17</v>
      </c>
      <c r="AQ315" s="5">
        <f>0.1*(AE315+AL315)</f>
        <v>4.5</v>
      </c>
      <c r="AR315" s="11">
        <v>10.5</v>
      </c>
      <c r="AS315" s="11"/>
      <c r="AT315" s="11"/>
      <c r="AU315" s="11"/>
      <c r="AV315" s="33">
        <v>0</v>
      </c>
      <c r="AW315" s="5">
        <f>IF(AV315=0,AS315/6*(AT315+AU315*4),AV315)</f>
        <v>0</v>
      </c>
      <c r="AX315" s="11"/>
      <c r="AY315" s="5">
        <f>IF(AX315&lt;0.149*M315+0.329,1,AX315/(0.149*M315+0.329))</f>
        <v>1</v>
      </c>
      <c r="AZ315" s="5">
        <f>IF(AW315*AY315&gt;AL315,(AW315*AY315-AL315)/4,0)</f>
        <v>0</v>
      </c>
      <c r="BA315" s="12">
        <f>0.401+0.1831*(2*AR315^2/(AH315+AP315+AZ315))-0.02016*(2*AR315^2/(AH315+AP315+AZ315))^2+0.0007472*(2*AR315^2/(AH315+AP315+AZ315))^3</f>
        <v>0.8921352679480197</v>
      </c>
      <c r="BB315" s="3"/>
      <c r="BC315" s="3"/>
      <c r="BD315" s="3"/>
      <c r="BE315" s="3"/>
      <c r="BF315" s="33">
        <v>50</v>
      </c>
      <c r="BG315" s="5">
        <f>IF(BF315=0,(BC315+BD315)*(BB315/12+BE315/3),BF315)</f>
        <v>50</v>
      </c>
      <c r="BH315" s="5">
        <f>IF(BG315*AY315&gt;AL315+AZ315,BG315*AY315-AL315-AZ315,0)</f>
        <v>33</v>
      </c>
      <c r="BI315" s="5">
        <f>IF(M315/1.6&lt;8,ROUND(M315/1.6,0),8)</f>
        <v>5</v>
      </c>
      <c r="BJ315" s="5">
        <f>(AH315+AP315+AZ315)*BA315+0.1*BH315</f>
        <v>45.50067457974517</v>
      </c>
      <c r="BK315" s="11">
        <v>1.1</v>
      </c>
      <c r="BL315" s="5">
        <f>M315*0.2</f>
        <v>1.7</v>
      </c>
      <c r="BM315" s="5">
        <f>ROUNDDOWN(M315/2.13,0)</f>
        <v>3</v>
      </c>
      <c r="BN315" s="12">
        <f>M315/4.26</f>
        <v>1.995305164319249</v>
      </c>
      <c r="BO315" s="5">
        <f>IF(M315&lt;8,1.22,IF(M315&lt;15.2,0.108333*M315+0.353,2))</f>
        <v>1.2738305</v>
      </c>
      <c r="BP315" s="12">
        <f>IF(BK315&lt;BO315,1+0.3*(BO315-BK315)/M315,1)</f>
        <v>1.006135194117647</v>
      </c>
      <c r="BQ315" s="32"/>
      <c r="BR315" s="39">
        <v>0</v>
      </c>
      <c r="BS315" t="s" s="24">
        <v>154</v>
      </c>
      <c r="BT315" s="36"/>
      <c r="BU315" s="36"/>
      <c r="BV315" s="5">
        <f>IF(BQ315&lt;(M315/0.3048)^0.5,1,IF(BU315="x",1-BR315*0.02,IF(BT315="x",1-BR315*0.01,1)))</f>
        <v>1</v>
      </c>
      <c r="BW315" s="12">
        <f>IF(K315="x",MIN(1.315,1.28+U315*N315/BJ315/AR315/1100),IF(L315="x",1.28,MAX(1.245,1.28-U315*N315/BJ315/AR315/1100)))</f>
        <v>1.264634641011555</v>
      </c>
      <c r="BX315" s="41">
        <f>BW315*T315*BV315*BP315*N315^0.3*BJ315^0.4/V315^0.325</f>
        <v>1.158137277681549</v>
      </c>
      <c r="BY315" s="29"/>
      <c r="BZ315" s="29"/>
      <c r="CA315" t="s" s="19">
        <v>162</v>
      </c>
      <c r="CB315" s="42">
        <v>1997</v>
      </c>
      <c r="CC315" t="s" s="19">
        <v>180</v>
      </c>
      <c r="CD315" s="3"/>
      <c r="CE315" s="3"/>
      <c r="CF315" s="3"/>
      <c r="CG315" t="s" s="30">
        <f>A315</f>
        <v>1891</v>
      </c>
    </row>
    <row r="316" ht="12.75" customHeight="1">
      <c r="A316" t="s" s="25">
        <v>1892</v>
      </c>
      <c r="B316" t="s" s="19">
        <v>1893</v>
      </c>
      <c r="C316" t="s" s="19">
        <v>754</v>
      </c>
      <c r="D316" t="s" s="19">
        <v>169</v>
      </c>
      <c r="E316" t="s" s="19">
        <v>1894</v>
      </c>
      <c r="F316" s="3"/>
      <c r="G316" t="s" s="19">
        <v>1895</v>
      </c>
      <c r="H316" s="32"/>
      <c r="I316" s="32"/>
      <c r="J316" t="s" s="24">
        <v>154</v>
      </c>
      <c r="K316" s="36"/>
      <c r="L316" s="36"/>
      <c r="M316" s="11">
        <v>13.2</v>
      </c>
      <c r="N316" s="5">
        <v>13.2</v>
      </c>
      <c r="O316" s="11"/>
      <c r="P316" s="11"/>
      <c r="Q316" s="37"/>
      <c r="R316" t="s" s="24">
        <v>161</v>
      </c>
      <c r="S316" s="36"/>
      <c r="T316" s="38">
        <f>IF(S316&gt;0,1.048,IF(R316&gt;0,1.048,IF(Q316&gt;0,1.036,0.907+1.55*(P316/N316)-4.449*(P316/N316)^2)))</f>
        <v>1.048</v>
      </c>
      <c r="U316" s="39">
        <v>4000</v>
      </c>
      <c r="V316" s="40">
        <f>IF(H316="x",75+U316,IF(M316&lt;6.66,150+U316,-1.7384*M316^2+92.38*M316-388+U316))</f>
        <v>4528.517184</v>
      </c>
      <c r="W316" s="5"/>
      <c r="X316" s="5"/>
      <c r="Y316" s="5"/>
      <c r="Z316" s="5"/>
      <c r="AA316" s="5"/>
      <c r="AB316" s="5"/>
      <c r="AC316" s="5">
        <v>15.5</v>
      </c>
      <c r="AD316" s="33">
        <v>65</v>
      </c>
      <c r="AE316" s="5">
        <f>IF(AD316=0,(W316+4*X316+2*Y316+4*Z316+AA316)*AC316/12+W316*AB316/1.5,AD316)</f>
        <v>65</v>
      </c>
      <c r="AF316" s="11">
        <v>17</v>
      </c>
      <c r="AG316" s="11">
        <v>0.72</v>
      </c>
      <c r="AH316" s="5">
        <f>IF(AC316=0,AE316+AF316*AG316/2,AE316+AC316*AG316/2)</f>
        <v>70.58</v>
      </c>
      <c r="AI316" s="5">
        <v>12</v>
      </c>
      <c r="AJ316" s="3"/>
      <c r="AK316" s="33">
        <v>45</v>
      </c>
      <c r="AL316" s="5">
        <f>IF(AK316=0,AI316*AJ316/2,AK316)</f>
        <v>45</v>
      </c>
      <c r="AM316" s="3"/>
      <c r="AN316" s="5"/>
      <c r="AO316" s="5">
        <v>0.134</v>
      </c>
      <c r="AP316" s="5">
        <f>AL316+AI316*(AN316-AO316)/2</f>
        <v>44.196</v>
      </c>
      <c r="AQ316" s="5">
        <f>0.1*(AE316+AL316)</f>
        <v>11</v>
      </c>
      <c r="AR316" s="11">
        <v>17</v>
      </c>
      <c r="AS316" s="11"/>
      <c r="AT316" s="11"/>
      <c r="AU316" s="11"/>
      <c r="AV316" s="33"/>
      <c r="AW316" s="5">
        <f>IF(AV316=0,AS316/6*(AT316+AU316*4),AV316)</f>
        <v>0</v>
      </c>
      <c r="AX316" s="11"/>
      <c r="AY316" s="5">
        <f>IF(AX316&lt;0.149*M316+0.329,1,AX316/(0.149*M316+0.329))</f>
        <v>1</v>
      </c>
      <c r="AZ316" s="5">
        <f>IF(AW316*AY316&gt;AL316,(AW316*AY316-AL316)/4,0)</f>
        <v>0</v>
      </c>
      <c r="BA316" s="12">
        <f>0.401+0.1831*(2*AR316^2/(AH316+AP316+AZ316))-0.02016*(2*AR316^2/(AH316+AP316+AZ316))^2+0.0007472*(2*AR316^2/(AH316+AP316+AZ316))^3</f>
        <v>0.9072360357701889</v>
      </c>
      <c r="BB316" s="3"/>
      <c r="BC316" s="3"/>
      <c r="BD316" s="3"/>
      <c r="BE316" s="3"/>
      <c r="BF316" s="33">
        <v>140</v>
      </c>
      <c r="BG316" s="5">
        <f>IF(BF316=0,(BC316+BD316)*(BB316/12+BE316/3),BF316)</f>
        <v>140</v>
      </c>
      <c r="BH316" s="5">
        <f>IF(BG316*AY316&gt;AL316+AZ316,BG316*AY316-AL316-AZ316,0)</f>
        <v>95</v>
      </c>
      <c r="BI316" s="42">
        <f>IF(M316/1.6&lt;8,ROUND(M316/1.6,0),8)</f>
        <v>8</v>
      </c>
      <c r="BJ316" s="5">
        <f>(AH316+AP316+AZ316)*BA316+0.1*BH316</f>
        <v>113.6289232415592</v>
      </c>
      <c r="BK316" s="11">
        <v>1.9</v>
      </c>
      <c r="BL316" s="5">
        <f>M316*0.2</f>
        <v>2.64</v>
      </c>
      <c r="BM316" s="5">
        <f>ROUNDDOWN(M316/2.13,0)</f>
        <v>6</v>
      </c>
      <c r="BN316" s="12">
        <f>M316/4.26</f>
        <v>3.098591549295775</v>
      </c>
      <c r="BO316" s="5">
        <f>IF(M316&lt;8,1.22,IF(M316&lt;15.2,0.108333*M316+0.353,2))</f>
        <v>1.7829956</v>
      </c>
      <c r="BP316" s="12">
        <f>IF(BK316&lt;BO316,1+0.3*(BO316-BK316)/M316,1)</f>
        <v>1</v>
      </c>
      <c r="BQ316" s="32"/>
      <c r="BR316" s="39">
        <v>0</v>
      </c>
      <c r="BS316" t="s" s="24">
        <v>154</v>
      </c>
      <c r="BT316" s="36"/>
      <c r="BU316" s="36"/>
      <c r="BV316" s="5">
        <f>IF(BQ316&lt;(M316/0.3048)^0.5,1,IF(BU316="x",1-BR316*0.02,IF(BT316="x",1-BR316*0.01,1)))</f>
        <v>1</v>
      </c>
      <c r="BW316" s="12">
        <f>IF(K316="x",MIN(1.315,1.28+U316*N316/BJ316/AR316/1100),IF(L316="x",1.28,MAX(1.245,1.28-U316*N316/BJ316/AR316/1100)))</f>
        <v>1.255151314196982</v>
      </c>
      <c r="BX316" s="41">
        <f>BW316*T316*BV316*BP316*N316^0.3*BJ316^0.4/V316^0.325</f>
        <v>1.228116021833174</v>
      </c>
      <c r="BY316" s="29"/>
      <c r="BZ316" s="29"/>
      <c r="CA316" t="s" s="19">
        <v>162</v>
      </c>
      <c r="CB316" s="46">
        <v>38272</v>
      </c>
      <c r="CC316" t="s" s="19">
        <v>180</v>
      </c>
      <c r="CD316" s="3"/>
      <c r="CE316" s="3"/>
      <c r="CF316" s="3"/>
      <c r="CG316" t="s" s="30">
        <f>A316</f>
        <v>1896</v>
      </c>
    </row>
    <row r="317" ht="12.75" customHeight="1">
      <c r="A317" t="s" s="25">
        <v>1897</v>
      </c>
      <c r="B317" t="s" s="19">
        <v>1898</v>
      </c>
      <c r="C317" t="s" s="19">
        <v>344</v>
      </c>
      <c r="D317" t="s" s="19">
        <v>1899</v>
      </c>
      <c r="E317" t="s" s="19">
        <v>1900</v>
      </c>
      <c r="F317" t="s" s="19">
        <v>1901</v>
      </c>
      <c r="G317" t="s" s="19">
        <v>1902</v>
      </c>
      <c r="H317" s="32"/>
      <c r="I317" s="32"/>
      <c r="J317" s="36"/>
      <c r="K317" t="s" s="24">
        <v>154</v>
      </c>
      <c r="L317" s="36"/>
      <c r="M317" s="11">
        <v>8.300000000000001</v>
      </c>
      <c r="N317" s="5">
        <v>7.85</v>
      </c>
      <c r="O317" s="11">
        <v>5.95</v>
      </c>
      <c r="P317" s="11"/>
      <c r="Q317" s="37"/>
      <c r="R317" t="s" s="24">
        <v>1903</v>
      </c>
      <c r="S317" s="36"/>
      <c r="T317" s="38">
        <f>IF(S317&gt;0,1.048,IF(R317&gt;0,1.048,IF(Q317&gt;0,1.036,0.907+1.55*(P317/N317)-4.449*(P317/N317)^2)))</f>
        <v>1.048</v>
      </c>
      <c r="U317" s="39">
        <v>1200</v>
      </c>
      <c r="V317" s="40">
        <f>IF(H317="x",75+U317,IF(M317&lt;6.66,150+U317,-1.7384*M317^2+92.38*M317-388+U317))</f>
        <v>1458.995624</v>
      </c>
      <c r="W317" s="5"/>
      <c r="X317" s="5"/>
      <c r="Y317" s="5"/>
      <c r="Z317" s="5"/>
      <c r="AA317" s="5"/>
      <c r="AB317" s="5"/>
      <c r="AC317" s="5">
        <v>9.970000000000001</v>
      </c>
      <c r="AD317" s="33">
        <v>24.1</v>
      </c>
      <c r="AE317" s="5">
        <f>IF(AD317=0,(W317+4*X317+2*Y317+4*Z317+AA317)*AC317/12+W317*AB317/1.5,AD317)</f>
        <v>24.1</v>
      </c>
      <c r="AF317" s="11">
        <v>11</v>
      </c>
      <c r="AG317" s="11">
        <v>0.49</v>
      </c>
      <c r="AH317" s="5">
        <f>IF(AC317=0,AE317+AF317*AG317/2,AE317+AC317*AG317/2)</f>
        <v>26.54265</v>
      </c>
      <c r="AI317" s="5">
        <v>8.15</v>
      </c>
      <c r="AJ317" s="3"/>
      <c r="AK317" s="33">
        <v>12.66</v>
      </c>
      <c r="AL317" s="5">
        <f>IF(AK317=0,AI317*AJ317/2,AK317)</f>
        <v>12.66</v>
      </c>
      <c r="AM317" s="3"/>
      <c r="AN317" s="5"/>
      <c r="AO317" s="5"/>
      <c r="AP317" s="5">
        <f>AL317+AI317*(AN317-AO317)/2</f>
        <v>12.66</v>
      </c>
      <c r="AQ317" s="5">
        <f>0.1*(AE317+AL317)</f>
        <v>3.676000000000001</v>
      </c>
      <c r="AR317" s="11">
        <v>10.85</v>
      </c>
      <c r="AS317" s="11"/>
      <c r="AT317" s="11"/>
      <c r="AU317" s="11"/>
      <c r="AV317" s="33"/>
      <c r="AW317" s="5">
        <f>IF(AV317=0,AS317/6*(AT317+AU317*4),AV317)</f>
        <v>0</v>
      </c>
      <c r="AX317" s="11">
        <v>1.55</v>
      </c>
      <c r="AY317" s="5">
        <f>IF(AX317&lt;0.149*M317+0.329,1,AX317/(0.149*M317+0.329))</f>
        <v>1</v>
      </c>
      <c r="AZ317" s="5">
        <f>IF(AW317*AY317&gt;AL317,(AW317*AY317-AL317)/4,0)</f>
        <v>0</v>
      </c>
      <c r="BA317" s="12">
        <f>0.401+0.1831*(2*AR317^2/(AH317+AP317+AZ317))-0.02016*(2*AR317^2/(AH317+AP317+AZ317))^2+0.0007472*(2*AR317^2/(AH317+AP317+AZ317))^3</f>
        <v>0.9353628235083269</v>
      </c>
      <c r="BB317" s="3"/>
      <c r="BC317" s="3"/>
      <c r="BD317" s="3"/>
      <c r="BE317" s="3"/>
      <c r="BF317" s="33"/>
      <c r="BG317" s="5">
        <f>IF(BF317=0,(BC317+BD317)*(BB317/12+BE317/3),BF317)</f>
        <v>0</v>
      </c>
      <c r="BH317" s="5">
        <f>IF(BG317*AY317&gt;AL317+AZ317,BG317*AY317-AL317-AZ317,0)</f>
        <v>0</v>
      </c>
      <c r="BI317" s="5">
        <f>IF(M317/1.6&lt;8,ROUND(M317/1.6,0),8)</f>
        <v>5</v>
      </c>
      <c r="BJ317" s="5">
        <f>(AH317+AP317+AZ317)*BA317+0.1*BH317</f>
        <v>36.66870139300872</v>
      </c>
      <c r="BK317" s="11">
        <v>1.56</v>
      </c>
      <c r="BL317" s="5">
        <f>M317*0.2</f>
        <v>1.66</v>
      </c>
      <c r="BM317" s="5">
        <f>ROUNDDOWN(M317/2.13,0)</f>
        <v>3</v>
      </c>
      <c r="BN317" s="12">
        <f>M317/4.26</f>
        <v>1.948356807511737</v>
      </c>
      <c r="BO317" s="5">
        <f>IF(M317&lt;8,1.22,IF(M317&lt;15.2,0.108333*M317+0.353,2))</f>
        <v>1.2521639</v>
      </c>
      <c r="BP317" s="12">
        <f>IF(BK317&lt;BO317,1+0.3*(BO317-BK317)/M317,1)</f>
        <v>1</v>
      </c>
      <c r="BQ317" s="39">
        <v>7</v>
      </c>
      <c r="BR317" s="39">
        <v>0</v>
      </c>
      <c r="BS317" t="s" s="24">
        <v>154</v>
      </c>
      <c r="BT317" s="36"/>
      <c r="BU317" s="36"/>
      <c r="BV317" s="5">
        <f>IF(BQ317&lt;(M317/0.3048)^0.5,1,IF(BU317="x",1-BR317*0.02,IF(BT317="x",1-BR317*0.01,1)))</f>
        <v>1</v>
      </c>
      <c r="BW317" s="12">
        <f>IF(K317="x",MIN(1.315,1.28+U317*N317/BJ317/AR317/1100),IF(L317="x",1.28,MAX(1.245,1.28-U317*N317/BJ317/AR317/1100)))</f>
        <v>1.301524493939091</v>
      </c>
      <c r="BX317" s="41">
        <f>BW317*T317*BV317*BP317*N317^0.3*BJ317^0.4/V317^0.325</f>
        <v>1.001555893394409</v>
      </c>
      <c r="BY317" s="29"/>
      <c r="BZ317" s="29"/>
      <c r="CA317" t="s" s="19">
        <v>188</v>
      </c>
      <c r="CB317" t="s" s="19">
        <v>838</v>
      </c>
      <c r="CC317" t="s" s="19">
        <v>180</v>
      </c>
      <c r="CD317" t="s" s="19">
        <v>1904</v>
      </c>
      <c r="CE317" s="3"/>
      <c r="CF317" s="3"/>
      <c r="CG317" t="s" s="30">
        <f>A317</f>
        <v>1905</v>
      </c>
    </row>
    <row r="318" ht="12.75" customHeight="1">
      <c r="A318" t="s" s="25">
        <v>1906</v>
      </c>
      <c r="B318" t="s" s="19">
        <v>1132</v>
      </c>
      <c r="C318" t="s" s="19">
        <v>1133</v>
      </c>
      <c r="D318" t="s" s="19">
        <v>1134</v>
      </c>
      <c r="E318" t="s" s="19">
        <v>1907</v>
      </c>
      <c r="F318" t="s" s="19">
        <v>1908</v>
      </c>
      <c r="G318" t="s" s="19">
        <v>1909</v>
      </c>
      <c r="H318" s="32"/>
      <c r="I318" s="32"/>
      <c r="J318" s="36"/>
      <c r="K318" t="s" s="24">
        <v>154</v>
      </c>
      <c r="L318" s="36"/>
      <c r="M318" s="11">
        <v>6.28</v>
      </c>
      <c r="N318" s="5">
        <v>5.99</v>
      </c>
      <c r="O318" s="11">
        <v>4.08</v>
      </c>
      <c r="P318" s="11"/>
      <c r="Q318" s="37">
        <v>1.03</v>
      </c>
      <c r="R318" s="36"/>
      <c r="S318" s="36"/>
      <c r="T318" s="38">
        <f>IF(S318&gt;0,1.048,IF(R318&gt;0,1.048,IF(Q318&gt;0,1.036,0.907+1.55*(P318/N318)-4.449*(P318/N318)^2)))</f>
        <v>1.036</v>
      </c>
      <c r="U318" s="39">
        <v>394.9</v>
      </c>
      <c r="V318" s="40">
        <f>IF(H318="x",75+U318,IF(M318&lt;6.66,150+U318,-1.7384*M318^2+92.38*M318-388+U318))</f>
        <v>544.9</v>
      </c>
      <c r="W318" s="5"/>
      <c r="X318" s="5"/>
      <c r="Y318" s="5"/>
      <c r="Z318" s="5"/>
      <c r="AA318" s="5"/>
      <c r="AB318" s="5"/>
      <c r="AC318" s="5">
        <v>6.23</v>
      </c>
      <c r="AD318" s="33">
        <v>14</v>
      </c>
      <c r="AE318" s="5">
        <f>IF(AD318=0,(W318+4*X318+2*Y318+4*Z318+AA318)*AC318/12+W318*AB318/1.5,AD318)</f>
        <v>14</v>
      </c>
      <c r="AF318" s="11">
        <v>7.05</v>
      </c>
      <c r="AG318" s="11"/>
      <c r="AH318" s="5">
        <f>IF(AC318=0,AE318+AF318*AG318/2,AE318+AC318*AG318/2)</f>
        <v>14</v>
      </c>
      <c r="AI318" s="5">
        <v>5.74</v>
      </c>
      <c r="AJ318" s="3"/>
      <c r="AK318" s="33">
        <v>6</v>
      </c>
      <c r="AL318" s="5">
        <f>IF(AK318=0,AI318*AJ318/2,AK318)</f>
        <v>6</v>
      </c>
      <c r="AM318" s="3"/>
      <c r="AN318" s="5"/>
      <c r="AO318" s="5">
        <v>0.04</v>
      </c>
      <c r="AP318" s="5">
        <f>AL318+AI318*(AN318-AO318)/2</f>
        <v>5.8852</v>
      </c>
      <c r="AQ318" s="5">
        <f>0.1*(AE318+AL318)</f>
        <v>2</v>
      </c>
      <c r="AR318" s="11">
        <v>7.2</v>
      </c>
      <c r="AS318" s="11"/>
      <c r="AT318" s="11"/>
      <c r="AU318" s="11"/>
      <c r="AV318" s="33">
        <v>16</v>
      </c>
      <c r="AW318" s="5">
        <f>IF(AV318=0,AS318/6*(AT318+AU318*4),AV318)</f>
        <v>16</v>
      </c>
      <c r="AX318" s="11">
        <v>0.9</v>
      </c>
      <c r="AY318" s="5">
        <f>IF(AX318&lt;0.149*M318+0.329,1,AX318/(0.149*M318+0.329))</f>
        <v>1</v>
      </c>
      <c r="AZ318" s="5">
        <f>IF(AW318*AY318&gt;AL318,(AW318*AY318-AL318)/4,0)</f>
        <v>2.5</v>
      </c>
      <c r="BA318" s="12">
        <f>0.401+0.1831*(2*AR318^2/(AH318+AP318+AZ318))-0.02016*(2*AR318^2/(AH318+AP318+AZ318))^2+0.0007472*(2*AR318^2/(AH318+AP318+AZ318))^3</f>
        <v>0.8908193573161147</v>
      </c>
      <c r="BB318" s="3"/>
      <c r="BC318" s="3"/>
      <c r="BD318" s="3"/>
      <c r="BE318" s="3"/>
      <c r="BF318" s="33">
        <v>24</v>
      </c>
      <c r="BG318" s="5">
        <f>IF(BF318=0,(BC318+BD318)*(BB318/12+BE318/3),BF318)</f>
        <v>24</v>
      </c>
      <c r="BH318" s="5">
        <f>IF(BG318*AY318&gt;AL318+AZ318,BG318*AY318-AL318-AZ318,0)</f>
        <v>15.5</v>
      </c>
      <c r="BI318" s="5">
        <f>IF(M318/1.6&lt;8,ROUND(M318/1.6,0),8)</f>
        <v>4</v>
      </c>
      <c r="BJ318" s="5">
        <f>(AH318+AP318+AZ318)*BA318+0.1*BH318</f>
        <v>21.49116947739269</v>
      </c>
      <c r="BK318" s="11"/>
      <c r="BL318" s="5">
        <f>M318*0.2</f>
        <v>1.256</v>
      </c>
      <c r="BM318" s="5">
        <f>ROUNDDOWN(M318/2.13,0)</f>
        <v>2</v>
      </c>
      <c r="BN318" s="12">
        <f>M318/4.26</f>
        <v>1.474178403755869</v>
      </c>
      <c r="BO318" s="5">
        <f>IF(M318&lt;8,1.22,IF(M318&lt;15.2,0.108333*M318+0.353,2))</f>
        <v>1.22</v>
      </c>
      <c r="BP318" s="12">
        <f>IF(BK318&lt;BO318,1+0.3*(BO318-BK318)/M318,1)</f>
        <v>1.05828025477707</v>
      </c>
      <c r="BQ318" s="39">
        <v>5</v>
      </c>
      <c r="BR318" s="39">
        <v>1</v>
      </c>
      <c r="BS318" t="s" s="24">
        <v>154</v>
      </c>
      <c r="BT318" s="36"/>
      <c r="BU318" s="36"/>
      <c r="BV318" s="5">
        <f>IF(BQ318&lt;(M318/0.3048)^0.5,1,IF(BU318="x",1-BR318*0.02,IF(BT318="x",1-BR318*0.01,1)))</f>
        <v>1</v>
      </c>
      <c r="BW318" s="12">
        <f>IF(K318="x",MIN(1.315,1.28+U318*N318/BJ318/AR318/1100),IF(L318="x",1.28,MAX(1.245,1.28-U318*N318/BJ318/AR318/1100)))</f>
        <v>1.29389724537186</v>
      </c>
      <c r="BX318" s="41">
        <f>BW318*T318*BV318*BP318*N318^0.3*BJ318^0.4/V318^0.325</f>
        <v>1.068290436736384</v>
      </c>
      <c r="BY318" s="29"/>
      <c r="BZ318" s="29"/>
      <c r="CA318" s="3"/>
      <c r="CB318" s="3"/>
      <c r="CC318" s="3"/>
      <c r="CD318" s="3"/>
      <c r="CE318" s="3"/>
      <c r="CF318" s="3"/>
      <c r="CG318" t="s" s="30">
        <f>A318</f>
        <v>1910</v>
      </c>
    </row>
    <row r="319" ht="12.75" customHeight="1">
      <c r="A319" t="s" s="25">
        <v>1911</v>
      </c>
      <c r="B319" t="s" s="19">
        <v>1912</v>
      </c>
      <c r="C319" t="s" s="19">
        <v>562</v>
      </c>
      <c r="D319" t="s" s="19">
        <v>562</v>
      </c>
      <c r="E319" t="s" s="19">
        <v>1913</v>
      </c>
      <c r="F319" s="3"/>
      <c r="G319" s="3"/>
      <c r="H319" s="32"/>
      <c r="I319" s="32"/>
      <c r="J319" t="s" s="24">
        <v>154</v>
      </c>
      <c r="K319" s="36"/>
      <c r="L319" s="36"/>
      <c r="M319" s="11">
        <v>11.9</v>
      </c>
      <c r="N319" s="5">
        <v>11.4</v>
      </c>
      <c r="O319" s="11">
        <v>5.6</v>
      </c>
      <c r="P319" s="11">
        <v>1</v>
      </c>
      <c r="Q319" s="37"/>
      <c r="R319" s="36"/>
      <c r="S319" s="36"/>
      <c r="T319" s="38">
        <f>IF(S319&gt;0,1.048,IF(R319&gt;0,1.048,IF(Q319&gt;0,1.036,0.907+1.55*(P319/N319)-4.449*(P319/N319)^2)))</f>
        <v>1.008731301939058</v>
      </c>
      <c r="U319" s="39">
        <v>7000</v>
      </c>
      <c r="V319" s="40">
        <f>IF(H319="x",75+U319,IF(M319&lt;6.66,150+U319,-1.7384*M319^2+92.38*M319-388+U319))</f>
        <v>7465.147175999999</v>
      </c>
      <c r="W319" s="5"/>
      <c r="X319" s="5"/>
      <c r="Y319" s="5"/>
      <c r="Z319" s="5"/>
      <c r="AA319" s="5"/>
      <c r="AB319" s="5"/>
      <c r="AC319" s="5">
        <v>14</v>
      </c>
      <c r="AD319" s="33">
        <v>27.5</v>
      </c>
      <c r="AE319" s="5">
        <f>IF(AD319=0,(W319+4*X319+2*Y319+4*Z319+AA319)*AC319/12+W319*AB319/1.5,AD319)</f>
        <v>27.5</v>
      </c>
      <c r="AF319" s="11">
        <v>15.2</v>
      </c>
      <c r="AG319" s="11"/>
      <c r="AH319" s="5">
        <f>IF(AC319=0,AE319+AF319*AG319/2,AE319+AC319*AG319/2)</f>
        <v>27.5</v>
      </c>
      <c r="AI319" s="3"/>
      <c r="AJ319" s="3"/>
      <c r="AK319" s="33">
        <v>47.7</v>
      </c>
      <c r="AL319" s="5">
        <f>IF(AK319=0,AI319*AJ319/2,AK319)</f>
        <v>47.7</v>
      </c>
      <c r="AM319" s="3"/>
      <c r="AN319" s="5"/>
      <c r="AO319" s="5"/>
      <c r="AP319" s="5">
        <f>AL319+AI319*(AN319-AO319)/2</f>
        <v>47.7</v>
      </c>
      <c r="AQ319" s="5">
        <f>0.1*(AE319+AL319)</f>
        <v>7.52</v>
      </c>
      <c r="AR319" s="11">
        <v>15.6</v>
      </c>
      <c r="AS319" s="11"/>
      <c r="AT319" s="11"/>
      <c r="AU319" s="11"/>
      <c r="AV319" s="33"/>
      <c r="AW319" s="5">
        <f>IF(AV319=0,AS319/6*(AT319+AU319*4),AV319)</f>
        <v>0</v>
      </c>
      <c r="AX319" s="11">
        <v>0</v>
      </c>
      <c r="AY319" s="5">
        <f>IF(AX319&lt;0.149*M319+0.329,1,AX319/(0.149*M319+0.329))</f>
        <v>1</v>
      </c>
      <c r="AZ319" s="5">
        <f>IF(AW319*AY319&gt;AL319,(AW319*AY319-AL319)/4,0)</f>
        <v>0</v>
      </c>
      <c r="BA319" s="12">
        <f>0.401+0.1831*(2*AR319^2/(AH319+AP319+AZ319))-0.02016*(2*AR319^2/(AH319+AP319+AZ319))^2+0.0007472*(2*AR319^2/(AH319+AP319+AZ319))^3</f>
        <v>0.9441504891300925</v>
      </c>
      <c r="BB319" s="3"/>
      <c r="BC319" s="3"/>
      <c r="BD319" s="3"/>
      <c r="BE319" s="3"/>
      <c r="BF319" s="33">
        <v>113.5</v>
      </c>
      <c r="BG319" s="5">
        <f>IF(BF319=0,(BC319+BD319)*(BB319/12+BE319/3),BF319)</f>
        <v>113.5</v>
      </c>
      <c r="BH319" s="5">
        <f>IF(BG319*AY319&gt;AL319+AZ319,BG319*AY319-AL319-AZ319,0)</f>
        <v>65.8</v>
      </c>
      <c r="BI319" s="5">
        <f>IF(M319/1.6&lt;8,ROUND(M319/1.6,0),8)</f>
        <v>7</v>
      </c>
      <c r="BJ319" s="5">
        <f>(AH319+AP319+AZ319)*BA319+0.1*BH319</f>
        <v>77.58011678258295</v>
      </c>
      <c r="BK319" s="11">
        <v>2</v>
      </c>
      <c r="BL319" s="5">
        <f>M319*0.2</f>
        <v>2.38</v>
      </c>
      <c r="BM319" s="5">
        <f>ROUNDDOWN(M319/2.13,0)</f>
        <v>5</v>
      </c>
      <c r="BN319" s="12">
        <f>M319/4.26</f>
        <v>2.793427230046948</v>
      </c>
      <c r="BO319" s="5">
        <f>IF(M319&lt;8,1.22,IF(M319&lt;15.2,0.108333*M319+0.353,2))</f>
        <v>1.6421627</v>
      </c>
      <c r="BP319" s="12">
        <f>IF(BK319&lt;BO319,1+0.3*(BO319-BK319)/M319,1)</f>
        <v>1</v>
      </c>
      <c r="BQ319" s="39">
        <v>10</v>
      </c>
      <c r="BR319" s="39">
        <v>2</v>
      </c>
      <c r="BS319" s="36"/>
      <c r="BT319" t="s" s="24">
        <v>154</v>
      </c>
      <c r="BU319" s="36"/>
      <c r="BV319" s="5">
        <f>IF(BQ319&lt;(M319/0.3048)^0.5,1,IF(BU319="x",1-BR319*0.02,IF(BT319="x",1-BR319*0.01,1)))</f>
        <v>0.98</v>
      </c>
      <c r="BW319" s="12">
        <f>IF(K319="x",MIN(1.315,1.28+U319*N319/BJ319/AR319/1100),IF(L319="x",1.28,MAX(1.245,1.28-U319*N319/BJ319/AR319/1100)))</f>
        <v>1.245</v>
      </c>
      <c r="BX319" s="41">
        <f>BW319*T319*BV319*BP319*N319^0.3*BJ319^0.4/V319^0.325</f>
        <v>0.8024261625475454</v>
      </c>
      <c r="BY319" s="29"/>
      <c r="BZ319" s="44">
        <v>1075</v>
      </c>
      <c r="CA319" t="s" s="19">
        <v>213</v>
      </c>
      <c r="CB319" t="s" s="19">
        <v>564</v>
      </c>
      <c r="CC319" t="s" s="19">
        <v>164</v>
      </c>
      <c r="CD319" s="3"/>
      <c r="CE319" s="3"/>
      <c r="CF319" s="3"/>
      <c r="CG319" t="s" s="30">
        <f>A319</f>
        <v>1914</v>
      </c>
    </row>
    <row r="320" ht="12.75" customHeight="1">
      <c r="A320" t="s" s="25">
        <v>1915</v>
      </c>
      <c r="B320" t="s" s="19">
        <v>1898</v>
      </c>
      <c r="C320" t="s" s="19">
        <v>344</v>
      </c>
      <c r="D320" t="s" s="19">
        <v>1899</v>
      </c>
      <c r="E320" t="s" s="19">
        <v>1916</v>
      </c>
      <c r="F320" t="s" s="19">
        <v>1917</v>
      </c>
      <c r="G320" t="s" s="19">
        <v>1918</v>
      </c>
      <c r="H320" s="32"/>
      <c r="I320" s="32"/>
      <c r="J320" s="36"/>
      <c r="K320" t="s" s="24">
        <v>154</v>
      </c>
      <c r="L320" s="36"/>
      <c r="M320" s="11">
        <v>8.1</v>
      </c>
      <c r="N320" s="5">
        <v>8.045</v>
      </c>
      <c r="O320" s="11">
        <v>5.95</v>
      </c>
      <c r="P320" s="11"/>
      <c r="Q320" s="37"/>
      <c r="R320" t="s" s="24">
        <v>1903</v>
      </c>
      <c r="S320" s="36"/>
      <c r="T320" s="38">
        <f>IF(S320&gt;0,1.048,IF(R320&gt;0,1.048,IF(Q320&gt;0,1.036,0.907+1.55*(P320/N320)-4.449*(P320/N320)^2)))</f>
        <v>1.048</v>
      </c>
      <c r="U320" s="39">
        <v>950</v>
      </c>
      <c r="V320" s="40">
        <f>IF(H320="x",75+U320,IF(M320&lt;6.66,150+U320,-1.7384*M320^2+92.38*M320-388+U320))</f>
        <v>1196.221576</v>
      </c>
      <c r="W320" s="5"/>
      <c r="X320" s="5"/>
      <c r="Y320" s="5"/>
      <c r="Z320" s="5"/>
      <c r="AA320" s="5"/>
      <c r="AB320" s="5"/>
      <c r="AC320" s="5">
        <v>9.970000000000001</v>
      </c>
      <c r="AD320" s="33">
        <v>26.5</v>
      </c>
      <c r="AE320" s="5">
        <f>IF(AD320=0,(W320+4*X320+2*Y320+4*Z320+AA320)*AC320/12+W320*AB320/1.5,AD320)</f>
        <v>26.5</v>
      </c>
      <c r="AF320" s="11">
        <v>11</v>
      </c>
      <c r="AG320" s="11">
        <v>0.49</v>
      </c>
      <c r="AH320" s="5">
        <f>IF(AC320=0,AE320+AF320*AG320/2,AE320+AC320*AG320/2)</f>
        <v>28.94265</v>
      </c>
      <c r="AI320" s="5">
        <v>8.24</v>
      </c>
      <c r="AJ320" s="3"/>
      <c r="AK320" s="33">
        <v>12.99</v>
      </c>
      <c r="AL320" s="5">
        <f>IF(AK320=0,AI320*AJ320/2,AK320)</f>
        <v>12.99</v>
      </c>
      <c r="AM320" s="3"/>
      <c r="AN320" s="5">
        <v>0.1</v>
      </c>
      <c r="AO320" s="5"/>
      <c r="AP320" s="5">
        <f>AL320+AI320*(AN320-AO320)/2</f>
        <v>13.402</v>
      </c>
      <c r="AQ320" s="5">
        <f>0.1*(AE320+AL320)</f>
        <v>3.949</v>
      </c>
      <c r="AR320" s="11">
        <v>10.85</v>
      </c>
      <c r="AS320" s="11"/>
      <c r="AT320" s="11"/>
      <c r="AU320" s="11"/>
      <c r="AV320" s="33">
        <v>30.41</v>
      </c>
      <c r="AW320" s="5">
        <f>IF(AV320=0,AS320/6*(AT320+AU320*4),AV320)</f>
        <v>30.41</v>
      </c>
      <c r="AX320" s="11">
        <v>1.55</v>
      </c>
      <c r="AY320" s="5">
        <f>IF(AX320&lt;0.149*M320+0.329,1,AX320/(0.149*M320+0.329))</f>
        <v>1.009180285174816</v>
      </c>
      <c r="AZ320" s="5">
        <f>IF(AW320*AY320&gt;AL320,(AW320*AY320-AL320)/4,0)</f>
        <v>4.42479311804154</v>
      </c>
      <c r="BA320" s="12">
        <f>0.401+0.1831*(2*AR320^2/(AH320+AP320+AZ320))-0.02016*(2*AR320^2/(AH320+AP320+AZ320))^2+0.0007472*(2*AR320^2/(AH320+AP320+AZ320))^3</f>
        <v>0.9071720607789657</v>
      </c>
      <c r="BB320" s="3"/>
      <c r="BC320" s="3"/>
      <c r="BD320" s="3"/>
      <c r="BE320" s="3"/>
      <c r="BF320" s="33">
        <v>60.63</v>
      </c>
      <c r="BG320" s="5">
        <f>IF(BF320=0,(BC320+BD320)*(BB320/12+BE320/3),BF320)</f>
        <v>60.63</v>
      </c>
      <c r="BH320" s="5">
        <f>IF(BG320*AY320&gt;AL320+AZ320,BG320*AY320-AL320-AZ320,0)</f>
        <v>43.77180757210756</v>
      </c>
      <c r="BI320" s="5">
        <f>IF(M320/1.6&lt;8,ROUND(M320/1.6,0),8)</f>
        <v>5</v>
      </c>
      <c r="BJ320" s="5">
        <f>(AH320+AP320+AZ320)*BA320+0.1*BH320</f>
        <v>46.80511285208912</v>
      </c>
      <c r="BK320" s="11">
        <v>1.56</v>
      </c>
      <c r="BL320" s="5">
        <f>M320*0.2</f>
        <v>1.62</v>
      </c>
      <c r="BM320" s="5">
        <f>ROUNDDOWN(M320/2.13,0)</f>
        <v>3</v>
      </c>
      <c r="BN320" s="12">
        <f>M320/4.26</f>
        <v>1.901408450704225</v>
      </c>
      <c r="BO320" s="5">
        <f>IF(M320&lt;8,1.22,IF(M320&lt;15.2,0.108333*M320+0.353,2))</f>
        <v>1.2304973</v>
      </c>
      <c r="BP320" s="12">
        <f>IF(BK320&lt;BO320,1+0.3*(BO320-BK320)/M320,1)</f>
        <v>1</v>
      </c>
      <c r="BQ320" s="39">
        <v>7</v>
      </c>
      <c r="BR320" s="39">
        <v>0</v>
      </c>
      <c r="BS320" t="s" s="24">
        <v>154</v>
      </c>
      <c r="BT320" s="36"/>
      <c r="BU320" s="36"/>
      <c r="BV320" s="5">
        <f>IF(BQ320&lt;(M320/0.3048)^0.5,1,IF(BU320="x",1-BR320*0.02,IF(BT320="x",1-BR320*0.01,1)))</f>
        <v>1</v>
      </c>
      <c r="BW320" s="12">
        <f>IF(K320="x",MIN(1.315,1.28+U320*N320/BJ320/AR320/1100),IF(L320="x",1.28,MAX(1.245,1.28-U320*N320/BJ320/AR320/1100)))</f>
        <v>1.293681506895605</v>
      </c>
      <c r="BX320" s="41">
        <f>BW320*T320*BV320*BP320*N320^0.3*BJ320^0.4/V320^0.325</f>
        <v>1.179437700020138</v>
      </c>
      <c r="BY320" s="29"/>
      <c r="BZ320" s="29"/>
      <c r="CA320" t="s" s="19">
        <v>705</v>
      </c>
      <c r="CB320" t="s" s="19">
        <v>1919</v>
      </c>
      <c r="CC320" t="s" s="19">
        <v>254</v>
      </c>
      <c r="CD320" s="3"/>
      <c r="CE320" s="3"/>
      <c r="CF320" s="3"/>
      <c r="CG320" t="s" s="30">
        <f>A320</f>
        <v>1920</v>
      </c>
    </row>
    <row r="321" ht="12.75" customHeight="1">
      <c r="A321" t="s" s="25">
        <v>1921</v>
      </c>
      <c r="B321" t="s" s="19">
        <v>1922</v>
      </c>
      <c r="C321" t="s" s="19">
        <v>1923</v>
      </c>
      <c r="D321" s="3"/>
      <c r="E321" t="s" s="19">
        <v>1924</v>
      </c>
      <c r="F321" s="3"/>
      <c r="G321" s="3"/>
      <c r="H321" s="32"/>
      <c r="I321" s="32"/>
      <c r="J321" t="s" s="24">
        <v>154</v>
      </c>
      <c r="K321" s="36"/>
      <c r="L321" s="36"/>
      <c r="M321" s="11">
        <v>7</v>
      </c>
      <c r="N321" s="5">
        <v>7</v>
      </c>
      <c r="O321" s="11"/>
      <c r="P321" s="11"/>
      <c r="Q321" s="37"/>
      <c r="R321" t="s" s="24">
        <v>161</v>
      </c>
      <c r="S321" s="36"/>
      <c r="T321" s="38">
        <f>IF(S321&gt;0,1.048,IF(R321&gt;0,1.048,IF(Q321&gt;0,1.036,0.907+1.55*(P321/N321)-4.449*(P321/N321)^2)))</f>
        <v>1.048</v>
      </c>
      <c r="U321" s="39">
        <v>1011</v>
      </c>
      <c r="V321" s="40">
        <f>IF(H321="x",75+U321,IF(M321&lt;6.66,150+U321,-1.7384*M321^2+92.38*M321-388+U321))</f>
        <v>1184.4784</v>
      </c>
      <c r="W321" s="5">
        <v>3.28</v>
      </c>
      <c r="X321" s="5">
        <v>3.18</v>
      </c>
      <c r="Y321" s="5">
        <v>2.78</v>
      </c>
      <c r="Z321" s="5">
        <v>1.83</v>
      </c>
      <c r="AA321" s="5">
        <v>0.15</v>
      </c>
      <c r="AB321" s="5"/>
      <c r="AC321" s="5">
        <v>9.220000000000001</v>
      </c>
      <c r="AD321" s="33"/>
      <c r="AE321" s="5">
        <f>IF(AD321=0,(W321+4*X321+2*Y321+4*Z321+AA321)*AC321/12+W321*AB321/1.5,AD321)</f>
        <v>22.30471666666666</v>
      </c>
      <c r="AF321" s="11">
        <v>10.1</v>
      </c>
      <c r="AG321" s="11">
        <v>0.344</v>
      </c>
      <c r="AH321" s="5">
        <f>IF(AC321=0,AE321+AF321*AG321/2,AE321+AC321*AG321/2)</f>
        <v>23.89055666666667</v>
      </c>
      <c r="AI321" s="5">
        <v>6.93</v>
      </c>
      <c r="AJ321" s="5">
        <v>1.98</v>
      </c>
      <c r="AK321" s="33"/>
      <c r="AL321" s="5">
        <f>IF(AK321=0,AI321*AJ321/2,AK321)</f>
        <v>6.8607</v>
      </c>
      <c r="AM321" s="3"/>
      <c r="AN321" s="5"/>
      <c r="AO321" s="5"/>
      <c r="AP321" s="5">
        <f>AL321+AI321*(AN321-AO321)/2</f>
        <v>6.8607</v>
      </c>
      <c r="AQ321" s="5">
        <f>0.1*(AE321+AL321)</f>
        <v>2.916541666666667</v>
      </c>
      <c r="AR321" s="11">
        <v>10.1</v>
      </c>
      <c r="AS321" s="11"/>
      <c r="AT321" s="11"/>
      <c r="AU321" s="11"/>
      <c r="AV321" s="33">
        <v>0</v>
      </c>
      <c r="AW321" s="5">
        <f>IF(AV321=0,AS321/6*(AT321+AU321*4),AV321)</f>
        <v>0</v>
      </c>
      <c r="AX321" s="11"/>
      <c r="AY321" s="5">
        <f>IF(AX321&lt;0.149*M321+0.329,1,AX321/(0.149*M321+0.329))</f>
        <v>1</v>
      </c>
      <c r="AZ321" s="5">
        <f>IF(AW321*AY321&gt;AL321,(AW321*AY321-AL321)/4,0)</f>
        <v>0</v>
      </c>
      <c r="BA321" s="12">
        <f>0.401+0.1831*(2*AR321^2/(AH321+AP321+AZ321))-0.02016*(2*AR321^2/(AH321+AP321+AZ321))^2+0.0007472*(2*AR321^2/(AH321+AP321+AZ321))^3</f>
        <v>0.946606228340257</v>
      </c>
      <c r="BB321" s="3"/>
      <c r="BC321" s="3"/>
      <c r="BD321" s="3"/>
      <c r="BE321" s="3"/>
      <c r="BF321" s="33"/>
      <c r="BG321" s="5">
        <f>IF(BF321=0,(BC321+BD321)*(BB321/12+BE321/3),BF321)</f>
        <v>0</v>
      </c>
      <c r="BH321" s="5">
        <f>IF(BG321*AY321&gt;AL321+AZ321,BG321*AY321-AL321-AZ321,0)</f>
        <v>0</v>
      </c>
      <c r="BI321" s="5">
        <f>IF(M321/1.6&lt;8,ROUND(M321/1.6,0),8)</f>
        <v>4</v>
      </c>
      <c r="BJ321" s="5">
        <f>(AH321+AP321+AZ321)*BA321+0.1*BH321</f>
        <v>29.10933108995651</v>
      </c>
      <c r="BK321" s="11">
        <v>1.22</v>
      </c>
      <c r="BL321" s="5">
        <f>M321*0.2</f>
        <v>1.4</v>
      </c>
      <c r="BM321" s="5">
        <f>ROUNDDOWN(M321/2.13,0)</f>
        <v>3</v>
      </c>
      <c r="BN321" s="12">
        <f>M321/4.26</f>
        <v>1.643192488262911</v>
      </c>
      <c r="BO321" s="5">
        <f>IF(M321&lt;8,1.22,IF(M321&lt;15.2,0.108333*M321+0.353,2))</f>
        <v>1.22</v>
      </c>
      <c r="BP321" s="12">
        <f>IF(BK321&lt;BO321,1+0.3*(BO321-BK321)/M321,1)</f>
        <v>1</v>
      </c>
      <c r="BQ321" s="32"/>
      <c r="BR321" s="39">
        <v>0</v>
      </c>
      <c r="BS321" t="s" s="24">
        <v>154</v>
      </c>
      <c r="BT321" s="36"/>
      <c r="BU321" s="36"/>
      <c r="BV321" s="5">
        <f>IF(BQ321&lt;(M321/0.3048)^0.5,1,IF(BU321="x",1-BR321*0.02,IF(BT321="x",1-BR321*0.01,1)))</f>
        <v>1</v>
      </c>
      <c r="BW321" s="12">
        <f>IF(K321="x",MIN(1.315,1.28+U321*N321/BJ321/AR321/1100),IF(L321="x",1.28,MAX(1.245,1.28-U321*N321/BJ321/AR321/1100)))</f>
        <v>1.25811719900394</v>
      </c>
      <c r="BX321" s="41">
        <f>BW321*T321*BV321*BP321*N321^0.3*BJ321^0.4/V321^0.325</f>
        <v>0.9127006547946958</v>
      </c>
      <c r="BY321" s="29"/>
      <c r="BZ321" s="29"/>
      <c r="CA321" t="s" s="19">
        <v>162</v>
      </c>
      <c r="CB321" s="42">
        <v>1997</v>
      </c>
      <c r="CC321" t="s" s="19">
        <v>254</v>
      </c>
      <c r="CD321" t="s" s="19">
        <v>415</v>
      </c>
      <c r="CE321" s="3"/>
      <c r="CF321" s="3"/>
      <c r="CG321" t="s" s="30">
        <f>A321</f>
        <v>1925</v>
      </c>
    </row>
    <row r="322" ht="12.75" customHeight="1">
      <c r="A322" t="s" s="25">
        <v>1926</v>
      </c>
      <c r="B322" t="s" s="19">
        <v>1927</v>
      </c>
      <c r="C322" t="s" s="19">
        <v>1928</v>
      </c>
      <c r="D322" t="s" s="19">
        <v>1928</v>
      </c>
      <c r="E322" t="s" s="19">
        <v>1929</v>
      </c>
      <c r="F322" t="s" s="19">
        <v>1930</v>
      </c>
      <c r="G322" t="s" s="19">
        <v>1931</v>
      </c>
      <c r="H322" s="32"/>
      <c r="I322" s="32"/>
      <c r="J322" s="36"/>
      <c r="K322" t="s" s="24">
        <v>154</v>
      </c>
      <c r="L322" s="36"/>
      <c r="M322" s="11">
        <v>9.140000000000001</v>
      </c>
      <c r="N322" s="5">
        <v>9.140000000000001</v>
      </c>
      <c r="O322" s="11">
        <v>6.85</v>
      </c>
      <c r="P322" s="11"/>
      <c r="Q322" s="37"/>
      <c r="R322" s="43">
        <v>1.85</v>
      </c>
      <c r="S322" s="36"/>
      <c r="T322" s="38">
        <f>IF(S322&gt;0,1.048,IF(R322&gt;0,1.048,IF(Q322&gt;0,1.036,0.907+1.55*(P322/N322)-4.449*(P322/N322)^2)))</f>
        <v>1.048</v>
      </c>
      <c r="U322" s="39">
        <v>950</v>
      </c>
      <c r="V322" s="40">
        <f>IF(H322="x",75+U322,IF(M322&lt;6.66,150+U322,-1.7384*M322^2+92.38*M322-388+U322))</f>
        <v>1261.12795936</v>
      </c>
      <c r="W322" s="5"/>
      <c r="X322" s="5"/>
      <c r="Y322" s="5"/>
      <c r="Z322" s="5"/>
      <c r="AA322" s="5"/>
      <c r="AB322" s="5"/>
      <c r="AC322" s="5">
        <v>14.4</v>
      </c>
      <c r="AD322" s="33">
        <v>41</v>
      </c>
      <c r="AE322" s="5">
        <f>IF(AD322=0,(W322+4*X322+2*Y322+4*Z322+AA322)*AC322/12+W322*AB322/1.5,AD322)</f>
        <v>41</v>
      </c>
      <c r="AF322" s="11">
        <v>15.3</v>
      </c>
      <c r="AG322" s="11">
        <v>0.645</v>
      </c>
      <c r="AH322" s="5">
        <f>IF(AC322=0,AE322+AF322*AG322/2,AE322+AC322*AG322/2)</f>
        <v>45.644</v>
      </c>
      <c r="AI322" s="5">
        <v>11.55</v>
      </c>
      <c r="AJ322" s="3"/>
      <c r="AK322" s="33">
        <v>26</v>
      </c>
      <c r="AL322" s="5">
        <f>IF(AK322=0,AI322*AJ322/2,AK322)</f>
        <v>26</v>
      </c>
      <c r="AM322" t="s" s="19">
        <v>154</v>
      </c>
      <c r="AN322" s="5"/>
      <c r="AO322" s="5"/>
      <c r="AP322" s="5">
        <f>AL322+AI322*(AN322-AO322)/2</f>
        <v>26</v>
      </c>
      <c r="AQ322" s="5">
        <f>0.1*(AE322+AL322)</f>
        <v>6.7</v>
      </c>
      <c r="AR322" s="11">
        <v>15.3</v>
      </c>
      <c r="AS322" s="11"/>
      <c r="AT322" s="11"/>
      <c r="AU322" s="11"/>
      <c r="AV322" s="33">
        <v>70</v>
      </c>
      <c r="AW322" s="5">
        <f>IF(AV322=0,AS322/6*(AT322+AU322*4),AV322)</f>
        <v>70</v>
      </c>
      <c r="AX322" s="11">
        <v>1.93</v>
      </c>
      <c r="AY322" s="5">
        <f>IF(AX322&lt;0.149*M322+0.329,1,AX322/(0.149*M322+0.329))</f>
        <v>1.141430987781366</v>
      </c>
      <c r="AZ322" s="5">
        <f>IF(AW322*AY322&gt;AL322,(AW322*AY322-AL322)/4,0)</f>
        <v>13.4750422861739</v>
      </c>
      <c r="BA322" s="12">
        <f>0.401+0.1831*(2*AR322^2/(AH322+AP322+AZ322))-0.02016*(2*AR322^2/(AH322+AP322+AZ322))^2+0.0007472*(2*AR322^2/(AH322+AP322+AZ322))^3</f>
        <v>0.9225340519571246</v>
      </c>
      <c r="BB322" s="3"/>
      <c r="BC322" s="3"/>
      <c r="BD322" s="3"/>
      <c r="BE322" s="3"/>
      <c r="BF322" s="33"/>
      <c r="BG322" s="5">
        <f>IF(BF322=0,(BC322+BD322)*(BB322/12+BE322/3),BF322)</f>
        <v>0</v>
      </c>
      <c r="BH322" s="5">
        <f>IF(BG322*AY322&gt;AL322+AZ322,BG322*AY322-AL322-AZ322,0)</f>
        <v>0</v>
      </c>
      <c r="BI322" s="5">
        <f>IF(M322/1.6&lt;8,ROUND(M322/1.6,0),8)</f>
        <v>6</v>
      </c>
      <c r="BJ322" s="5">
        <f>(AH322+AP322+AZ322)*BA322+0.1*BH322</f>
        <v>78.52521497897385</v>
      </c>
      <c r="BK322" s="11">
        <v>1.1</v>
      </c>
      <c r="BL322" s="5">
        <f>M322*0.2</f>
        <v>1.828</v>
      </c>
      <c r="BM322" s="5">
        <f>ROUNDDOWN(M322/2.13,0)</f>
        <v>4</v>
      </c>
      <c r="BN322" s="12">
        <f>M322/4.26</f>
        <v>2.145539906103286</v>
      </c>
      <c r="BO322" s="5">
        <f>IF(M322&lt;8,1.22,IF(M322&lt;15.2,0.108333*M322+0.353,2))</f>
        <v>1.34316362</v>
      </c>
      <c r="BP322" s="12">
        <f>IF(BK322&lt;BO322,1+0.3*(BO322-BK322)/M322,1)</f>
        <v>1.007981300437637</v>
      </c>
      <c r="BQ322" s="39">
        <v>4</v>
      </c>
      <c r="BR322" s="32"/>
      <c r="BS322" t="s" s="24">
        <v>154</v>
      </c>
      <c r="BT322" s="36"/>
      <c r="BU322" s="36"/>
      <c r="BV322" s="5">
        <f>IF(BQ322&lt;(M322/0.3048)^0.5,1,IF(BU322="x",1-BR322*0.02,IF(BT322="x",1-BR322*0.01,1)))</f>
        <v>1</v>
      </c>
      <c r="BW322" s="12">
        <f>IF(K322="x",MIN(1.315,1.28+U322*N322/BJ322/AR322/1100),IF(L322="x",1.28,MAX(1.245,1.28-U322*N322/BJ322/AR322/1100)))</f>
        <v>1.286570169154887</v>
      </c>
      <c r="BX322" s="41">
        <f>BW322*T322*BV322*BP322*N322^0.3*BJ322^0.4/V322^0.325</f>
        <v>1.485210540492579</v>
      </c>
      <c r="BY322" s="29"/>
      <c r="BZ322" s="29"/>
      <c r="CA322" t="s" s="19">
        <v>188</v>
      </c>
      <c r="CB322" s="42">
        <v>2009</v>
      </c>
      <c r="CC322" t="s" s="19">
        <v>254</v>
      </c>
      <c r="CD322" s="3"/>
      <c r="CE322" s="3"/>
      <c r="CF322" s="3"/>
      <c r="CG322" t="s" s="30">
        <f>A322</f>
        <v>1932</v>
      </c>
    </row>
    <row r="323" ht="12.75" customHeight="1">
      <c r="A323" t="s" s="25">
        <v>1933</v>
      </c>
      <c r="B323" t="s" s="19">
        <v>1934</v>
      </c>
      <c r="C323" s="3"/>
      <c r="D323" s="3"/>
      <c r="E323" t="s" s="19">
        <v>1935</v>
      </c>
      <c r="F323" t="s" s="19">
        <v>1936</v>
      </c>
      <c r="G323" t="s" s="19">
        <v>1937</v>
      </c>
      <c r="H323" s="32"/>
      <c r="I323" s="32"/>
      <c r="J323" t="s" s="24">
        <v>154</v>
      </c>
      <c r="K323" s="36"/>
      <c r="L323" s="36"/>
      <c r="M323" s="11">
        <v>10.75</v>
      </c>
      <c r="N323" s="5">
        <v>10.25</v>
      </c>
      <c r="O323" s="11">
        <v>5.46</v>
      </c>
      <c r="P323" s="11"/>
      <c r="Q323" s="37"/>
      <c r="R323" s="43">
        <v>1</v>
      </c>
      <c r="S323" s="36"/>
      <c r="T323" s="38">
        <f>IF(S323&gt;0,1.048,IF(R323&gt;0,1.048,IF(Q323&gt;0,1.036,0.907+1.55*(P323/N323)-4.449*(P323/N323)^2)))</f>
        <v>1.048</v>
      </c>
      <c r="U323" s="39">
        <v>2000</v>
      </c>
      <c r="V323" s="40">
        <f>IF(H323="x",75+U323,IF(M323&lt;6.66,150+U323,-1.7384*M323^2+92.38*M323-388+U323))</f>
        <v>2404.19115</v>
      </c>
      <c r="W323" s="5"/>
      <c r="X323" s="5"/>
      <c r="Y323" s="5"/>
      <c r="Z323" s="5"/>
      <c r="AA323" s="5"/>
      <c r="AB323" s="5"/>
      <c r="AC323" s="5">
        <v>12.5</v>
      </c>
      <c r="AD323" s="33">
        <v>38.53</v>
      </c>
      <c r="AE323" s="5">
        <f>IF(AD323=0,(W323+4*X323+2*Y323+4*Z323+AA323)*AC323/12+W323*AB323/1.5,AD323)</f>
        <v>38.53</v>
      </c>
      <c r="AF323" s="11">
        <v>12.85</v>
      </c>
      <c r="AG323" s="11">
        <v>0.72</v>
      </c>
      <c r="AH323" s="5">
        <f>IF(AC323=0,AE323+AF323*AG323/2,AE323+AC323*AG323/2)</f>
        <v>43.03</v>
      </c>
      <c r="AI323" s="5">
        <v>12.1</v>
      </c>
      <c r="AJ323" s="3"/>
      <c r="AK323" s="33">
        <v>22.26</v>
      </c>
      <c r="AL323" s="5">
        <f>IF(AK323=0,AI323*AJ323/2,AK323)</f>
        <v>22.26</v>
      </c>
      <c r="AM323" s="3"/>
      <c r="AN323" s="5"/>
      <c r="AO323" s="5">
        <v>0.08</v>
      </c>
      <c r="AP323" s="5">
        <f>AL323+AI323*(AN323-AO323)/2</f>
        <v>21.776</v>
      </c>
      <c r="AQ323" s="5">
        <f>0.1*(AE323+AL323)</f>
        <v>6.079000000000001</v>
      </c>
      <c r="AR323" s="11">
        <v>12.85</v>
      </c>
      <c r="AS323" s="11"/>
      <c r="AT323" s="11"/>
      <c r="AU323" s="11"/>
      <c r="AV323" s="33"/>
      <c r="AW323" s="5">
        <f>IF(AV323=0,AS323/6*(AT323+AU323*4),AV323)</f>
        <v>0</v>
      </c>
      <c r="AX323" s="11">
        <v>0</v>
      </c>
      <c r="AY323" s="5">
        <f>IF(AX323&lt;0.149*M323+0.329,1,AX323/(0.149*M323+0.329))</f>
        <v>1</v>
      </c>
      <c r="AZ323" s="5">
        <f>IF(AW323*AY323&gt;AL323,(AW323*AY323-AL323)/4,0)</f>
        <v>0</v>
      </c>
      <c r="BA323" s="12">
        <f>0.401+0.1831*(2*AR323^2/(AH323+AP323+AZ323))-0.02016*(2*AR323^2/(AH323+AP323+AZ323))^2+0.0007472*(2*AR323^2/(AH323+AP323+AZ323))^3</f>
        <v>0.9094184730212184</v>
      </c>
      <c r="BB323" s="3"/>
      <c r="BC323" s="3"/>
      <c r="BD323" s="3"/>
      <c r="BE323" s="3"/>
      <c r="BF323" s="33">
        <v>73.47</v>
      </c>
      <c r="BG323" s="5">
        <f>IF(BF323=0,(BC323+BD323)*(BB323/12+BE323/3),BF323)</f>
        <v>73.47</v>
      </c>
      <c r="BH323" s="5">
        <f>IF(BG323*AY323&gt;AL323+AZ323,BG323*AY323-AL323-AZ323,0)</f>
        <v>51.20999999999999</v>
      </c>
      <c r="BI323" s="5">
        <f>IF(M323/1.6&lt;8,ROUND(M323/1.6,0),8)</f>
        <v>7</v>
      </c>
      <c r="BJ323" s="5">
        <f>(AH323+AP323+AZ323)*BA323+0.1*BH323</f>
        <v>64.05677356261309</v>
      </c>
      <c r="BK323" s="11">
        <v>1.1</v>
      </c>
      <c r="BL323" s="5">
        <f>M323*0.2</f>
        <v>2.15</v>
      </c>
      <c r="BM323" s="5">
        <f>ROUNDDOWN(M323/2.13,0)</f>
        <v>5</v>
      </c>
      <c r="BN323" s="12">
        <f>M323/4.26</f>
        <v>2.523474178403756</v>
      </c>
      <c r="BO323" s="5">
        <f>IF(M323&lt;8,1.22,IF(M323&lt;15.2,0.108333*M323+0.353,2))</f>
        <v>1.51757975</v>
      </c>
      <c r="BP323" s="12">
        <f>IF(BK323&lt;BO323,1+0.3*(BO323-BK323)/M323,1)</f>
        <v>1.011653388372093</v>
      </c>
      <c r="BQ323" s="39">
        <v>4</v>
      </c>
      <c r="BR323" s="32"/>
      <c r="BS323" t="s" s="24">
        <v>154</v>
      </c>
      <c r="BT323" s="36"/>
      <c r="BU323" s="36"/>
      <c r="BV323" s="5">
        <f>IF(BQ323&lt;(M323/0.3048)^0.5,1,IF(BU323="x",1-BR323*0.02,IF(BT323="x",1-BR323*0.01,1)))</f>
        <v>1</v>
      </c>
      <c r="BW323" s="12">
        <f>IF(K323="x",MIN(1.315,1.28+U323*N323/BJ323/AR323/1100),IF(L323="x",1.28,MAX(1.245,1.28-U323*N323/BJ323/AR323/1100)))</f>
        <v>1.257359136412437</v>
      </c>
      <c r="BX323" s="41">
        <f>BW323*T323*BV323*BP323*N323^0.3*BJ323^0.4/V323^0.325</f>
        <v>1.126887666236207</v>
      </c>
      <c r="BY323" s="29"/>
      <c r="BZ323" s="29"/>
      <c r="CA323" t="s" s="19">
        <v>632</v>
      </c>
      <c r="CB323" s="42">
        <v>2009</v>
      </c>
      <c r="CC323" t="s" s="19">
        <v>254</v>
      </c>
      <c r="CD323" s="3"/>
      <c r="CE323" s="3"/>
      <c r="CF323" s="3"/>
      <c r="CG323" t="s" s="30">
        <f>A323</f>
        <v>1938</v>
      </c>
    </row>
    <row r="324" ht="12.75" customHeight="1">
      <c r="A324" t="s" s="25">
        <v>1939</v>
      </c>
      <c r="B324" t="s" s="19">
        <v>1940</v>
      </c>
      <c r="C324" t="s" s="19">
        <v>950</v>
      </c>
      <c r="D324" t="s" s="19">
        <v>204</v>
      </c>
      <c r="E324" t="s" s="19">
        <v>1941</v>
      </c>
      <c r="F324" t="s" s="19">
        <v>1942</v>
      </c>
      <c r="G324" s="3"/>
      <c r="H324" s="32"/>
      <c r="I324" s="32"/>
      <c r="J324" t="s" s="24">
        <v>154</v>
      </c>
      <c r="K324" s="36"/>
      <c r="L324" s="36"/>
      <c r="M324" s="11">
        <v>9.960000000000001</v>
      </c>
      <c r="N324" s="5">
        <v>9.958</v>
      </c>
      <c r="O324" s="11">
        <v>6.24</v>
      </c>
      <c r="P324" s="11">
        <v>0.78</v>
      </c>
      <c r="Q324" s="37"/>
      <c r="R324" s="36"/>
      <c r="S324" s="36"/>
      <c r="T324" s="38">
        <f>IF(S324&gt;0,1.048,IF(R324&gt;0,1.048,IF(Q324&gt;0,1.036,0.907+1.55*(P324/N324)-4.449*(P324/N324)^2)))</f>
        <v>1.001113396369189</v>
      </c>
      <c r="U324" s="39">
        <v>2934</v>
      </c>
      <c r="V324" s="40">
        <f>IF(H324="x",75+U324,IF(M324&lt;6.66,150+U324,-1.7384*M324^2+92.38*M324-388+U324))</f>
        <v>3293.65273856</v>
      </c>
      <c r="W324" s="5"/>
      <c r="X324" s="5"/>
      <c r="Y324" s="5"/>
      <c r="Z324" s="5"/>
      <c r="AA324" s="5"/>
      <c r="AB324" s="5"/>
      <c r="AC324" s="5">
        <v>12.46</v>
      </c>
      <c r="AD324" s="33">
        <v>42.78</v>
      </c>
      <c r="AE324" s="5">
        <f>IF(AD324=0,(W324+4*X324+2*Y324+4*Z324+AA324)*AC324/12+W324*AB324/1.5,AD324)</f>
        <v>42.78</v>
      </c>
      <c r="AF324" s="11">
        <v>13.8</v>
      </c>
      <c r="AG324" s="11"/>
      <c r="AH324" s="5">
        <f>IF(AC324=0,AE324+AF324*AG324/2,AE324+AC324*AG324/2)</f>
        <v>42.78</v>
      </c>
      <c r="AI324" s="5">
        <v>12</v>
      </c>
      <c r="AJ324" s="3"/>
      <c r="AK324" s="33">
        <v>16</v>
      </c>
      <c r="AL324" s="5">
        <f>IF(AK324=0,AI324*AJ324/2,AK324)</f>
        <v>16</v>
      </c>
      <c r="AM324" t="s" s="19">
        <v>154</v>
      </c>
      <c r="AN324" s="5"/>
      <c r="AO324" s="5"/>
      <c r="AP324" s="5">
        <f>AL324+AI324*(AN324-AO324)/2</f>
        <v>16</v>
      </c>
      <c r="AQ324" s="5">
        <f>0.1*(AE324+AL324)</f>
        <v>5.878</v>
      </c>
      <c r="AR324" s="11">
        <v>14.1705</v>
      </c>
      <c r="AS324" s="11"/>
      <c r="AT324" s="11"/>
      <c r="AU324" s="11"/>
      <c r="AV324" s="33">
        <v>45</v>
      </c>
      <c r="AW324" s="5">
        <f>IF(AV324=0,AS324/6*(AT324+AU324*4),AV324)</f>
        <v>45</v>
      </c>
      <c r="AX324" s="11">
        <v>0.52</v>
      </c>
      <c r="AY324" s="5">
        <f>IF(AX324&lt;0.149*M324+0.329,1,AX324/(0.149*M324+0.329))</f>
        <v>1</v>
      </c>
      <c r="AZ324" s="5">
        <f>IF(AW324*AY324&gt;AL324,(AW324*AY324-AL324)/4,0)</f>
        <v>7.25</v>
      </c>
      <c r="BA324" s="12">
        <f>0.401+0.1831*(2*AR324^2/(AH324+AP324+AZ324))-0.02016*(2*AR324^2/(AH324+AP324+AZ324))^2+0.0007472*(2*AR324^2/(AH324+AP324+AZ324))^3</f>
        <v>0.9369881323174861</v>
      </c>
      <c r="BB324" s="3"/>
      <c r="BC324" s="3"/>
      <c r="BD324" s="3"/>
      <c r="BE324" s="3"/>
      <c r="BF324" s="33">
        <v>65</v>
      </c>
      <c r="BG324" s="5">
        <f>IF(BF324=0,(BC324+BD324)*(BB324/12+BE324/3),BF324)</f>
        <v>65</v>
      </c>
      <c r="BH324" s="5">
        <f>IF(BG324*AY324&gt;AL324+AZ324,BG324*AY324-AL324-AZ324,0)</f>
        <v>41.75</v>
      </c>
      <c r="BI324" s="5">
        <f>IF(M324/1.6&lt;8,ROUND(M324/1.6,0),8)</f>
        <v>6</v>
      </c>
      <c r="BJ324" s="5">
        <f>(AH324+AP324+AZ324)*BA324+0.1*BH324</f>
        <v>66.04432637692361</v>
      </c>
      <c r="BK324" s="11">
        <v>1.67</v>
      </c>
      <c r="BL324" s="5">
        <f>M324*0.2</f>
        <v>1.992</v>
      </c>
      <c r="BM324" s="5">
        <f>ROUNDDOWN(M324/2.13,0)</f>
        <v>4</v>
      </c>
      <c r="BN324" s="12">
        <f>M324/4.26</f>
        <v>2.338028169014085</v>
      </c>
      <c r="BO324" s="5">
        <f>IF(M324&lt;8,1.22,IF(M324&lt;15.2,0.108333*M324+0.353,2))</f>
        <v>1.43199668</v>
      </c>
      <c r="BP324" s="12">
        <f>IF(BK324&lt;BO324,1+0.3*(BO324-BK324)/M324,1)</f>
        <v>1</v>
      </c>
      <c r="BQ324" s="39">
        <v>6.5</v>
      </c>
      <c r="BR324" s="39">
        <v>1</v>
      </c>
      <c r="BS324" t="s" s="24">
        <v>154</v>
      </c>
      <c r="BT324" s="36"/>
      <c r="BU324" s="36"/>
      <c r="BV324" s="5">
        <f>IF(BQ324&lt;(M324/0.3048)^0.5,1,IF(BU324="x",1-BR324*0.02,IF(BT324="x",1-BR324*0.01,1)))</f>
        <v>1</v>
      </c>
      <c r="BW324" s="12">
        <f>IF(K324="x",MIN(1.315,1.28+U324*N324/BJ324/AR324/1100),IF(L324="x",1.28,MAX(1.245,1.28-U324*N324/BJ324/AR324/1100)))</f>
        <v>1.251619577471901</v>
      </c>
      <c r="BX324" s="41">
        <f>BW324*T324*BV324*BP324*N324^0.3*BJ324^0.4/V324^0.325</f>
        <v>0.9596131164596732</v>
      </c>
      <c r="BY324" s="29"/>
      <c r="BZ324" s="29"/>
      <c r="CA324" s="3"/>
      <c r="CB324" s="3"/>
      <c r="CC324" s="3"/>
      <c r="CD324" s="3"/>
      <c r="CE324" s="3"/>
      <c r="CF324" s="3"/>
      <c r="CG324" t="s" s="30">
        <f>A324</f>
        <v>1943</v>
      </c>
    </row>
    <row r="325" ht="12.75" customHeight="1">
      <c r="A325" t="s" s="25">
        <v>1944</v>
      </c>
      <c r="B325" t="s" s="19">
        <v>480</v>
      </c>
      <c r="C325" t="s" s="19">
        <v>193</v>
      </c>
      <c r="D325" t="s" s="19">
        <v>193</v>
      </c>
      <c r="E325" t="s" s="19">
        <v>1945</v>
      </c>
      <c r="F325" s="3"/>
      <c r="G325" t="s" s="19">
        <v>1946</v>
      </c>
      <c r="H325" s="32"/>
      <c r="I325" s="32"/>
      <c r="J325" s="36"/>
      <c r="K325" t="s" s="24">
        <v>154</v>
      </c>
      <c r="L325" s="36"/>
      <c r="M325" s="11">
        <v>8</v>
      </c>
      <c r="N325" s="5">
        <v>7.95</v>
      </c>
      <c r="O325" s="11"/>
      <c r="P325" s="11"/>
      <c r="Q325" t="s" s="24">
        <v>161</v>
      </c>
      <c r="R325" s="36"/>
      <c r="S325" s="36"/>
      <c r="T325" s="38">
        <f>IF(S325&gt;0,1.048,IF(R325&gt;0,1.048,IF(Q325&gt;0,1.036,0.907+1.55*(P325/N325)-4.449*(P325/N325)^2)))</f>
        <v>1.036</v>
      </c>
      <c r="U325" s="39">
        <v>1095</v>
      </c>
      <c r="V325" s="40">
        <f>IF(H325="x",75+U325,IF(M325&lt;6.66,150+U325,-1.7384*M325^2+92.38*M325-388+U325))</f>
        <v>1334.7824</v>
      </c>
      <c r="W325" s="5">
        <v>2.88</v>
      </c>
      <c r="X325" s="5">
        <v>2.79</v>
      </c>
      <c r="Y325" s="5">
        <v>2.53</v>
      </c>
      <c r="Z325" s="5">
        <v>1.8</v>
      </c>
      <c r="AA325" s="5">
        <v>0.17</v>
      </c>
      <c r="AB325" s="5"/>
      <c r="AC325" s="5">
        <v>10.05</v>
      </c>
      <c r="AD325" s="33"/>
      <c r="AE325" s="5">
        <f>IF(AD325=0,(W325+4*X325+2*Y325+4*Z325+AA325)*AC325/12+W325*AB325/1.5,AD325)</f>
        <v>22.168625</v>
      </c>
      <c r="AF325" s="11">
        <v>11</v>
      </c>
      <c r="AG325" s="11">
        <v>0.42</v>
      </c>
      <c r="AH325" s="5">
        <f>IF(AC325=0,AE325+AF325*AG325/2,AE325+AC325*AG325/2)</f>
        <v>24.279125</v>
      </c>
      <c r="AI325" s="5">
        <v>8.699999999999999</v>
      </c>
      <c r="AJ325" s="5">
        <v>3</v>
      </c>
      <c r="AK325" s="33"/>
      <c r="AL325" s="5">
        <f>IF(AK325=0,AI325*AJ325/2,AK325)</f>
        <v>13.05</v>
      </c>
      <c r="AM325" s="3"/>
      <c r="AN325" s="5"/>
      <c r="AO325" s="5"/>
      <c r="AP325" s="5">
        <f>AL325+AI325*(AN325-AO325)/2</f>
        <v>13.05</v>
      </c>
      <c r="AQ325" s="5">
        <f>0.1*(AE325+AL325)</f>
        <v>3.521862500000001</v>
      </c>
      <c r="AR325" s="11">
        <v>11</v>
      </c>
      <c r="AS325" s="11"/>
      <c r="AT325" s="11"/>
      <c r="AU325" s="11"/>
      <c r="AV325" s="33"/>
      <c r="AW325" s="5">
        <f>IF(AV325=0,AS325/6*(AT325+AU325*4),AV325)</f>
        <v>0</v>
      </c>
      <c r="AX325" s="11"/>
      <c r="AY325" s="5">
        <f>IF(AX325&lt;0.149*M325+0.329,1,AX325/(0.149*M325+0.329))</f>
        <v>1</v>
      </c>
      <c r="AZ325" s="5">
        <f>IF(AW325*AY325&gt;AL325,(AW325*AY325-AL325)/4,0)</f>
        <v>0</v>
      </c>
      <c r="BA325" s="12">
        <f>0.401+0.1831*(2*AR325^2/(AH325+AP325+AZ325))-0.02016*(2*AR325^2/(AH325+AP325+AZ325))^2+0.0007472*(2*AR325^2/(AH325+AP325+AZ325))^3</f>
        <v>0.9443188000100293</v>
      </c>
      <c r="BB325" s="5">
        <v>4.93</v>
      </c>
      <c r="BC325" s="5">
        <v>9.49</v>
      </c>
      <c r="BD325" s="5">
        <v>9.449999999999999</v>
      </c>
      <c r="BE325" s="5">
        <v>4.3</v>
      </c>
      <c r="BF325" s="33"/>
      <c r="BG325" s="5">
        <f>IF(BF325=0,(BC325+BD325)*(BB325/12+BE325/3),BF325)</f>
        <v>34.92851666666667</v>
      </c>
      <c r="BH325" s="5">
        <f>IF(BG325*AY325&gt;AL325+AZ325,BG325*AY325-AL325-AZ325,0)</f>
        <v>21.87851666666667</v>
      </c>
      <c r="BI325" s="5">
        <f>IF(M325/1.6&lt;8,ROUND(M325/1.6,0),8)</f>
        <v>5</v>
      </c>
      <c r="BJ325" s="5">
        <f>(AH325+AP325+AZ325)*BA325+0.1*BH325</f>
        <v>37.43844619209105</v>
      </c>
      <c r="BK325" s="11">
        <v>1.4</v>
      </c>
      <c r="BL325" s="5">
        <f>M325*0.2</f>
        <v>1.6</v>
      </c>
      <c r="BM325" s="5">
        <f>ROUNDDOWN(M325/2.13,0)</f>
        <v>3</v>
      </c>
      <c r="BN325" s="12">
        <f>M325/4.26</f>
        <v>1.877934272300469</v>
      </c>
      <c r="BO325" s="5">
        <f>IF(M325&lt;8,1.22,IF(M325&lt;15.2,0.108333*M325+0.353,2))</f>
        <v>1.219664</v>
      </c>
      <c r="BP325" s="12">
        <f>IF(BK325&lt;BO325,1+0.3*(BO325-BK325)/M325,1)</f>
        <v>1</v>
      </c>
      <c r="BQ325" s="32"/>
      <c r="BR325" s="32"/>
      <c r="BS325" t="s" s="24">
        <v>154</v>
      </c>
      <c r="BT325" s="36"/>
      <c r="BU325" s="36"/>
      <c r="BV325" s="5">
        <f>IF(BQ325&lt;(M325/0.3048)^0.5,1,IF(BU325="x",1-BR325*0.02,IF(BT325="x",1-BR325*0.01,1)))</f>
        <v>1</v>
      </c>
      <c r="BW325" s="12">
        <f>IF(K325="x",MIN(1.315,1.28+U325*N325/BJ325/AR325/1100),IF(L325="x",1.28,MAX(1.245,1.28-U325*N325/BJ325/AR325/1100)))</f>
        <v>1.29921666687418</v>
      </c>
      <c r="BX325" s="41">
        <f>BW325*T325*BV325*BP325*N325^0.3*BJ325^0.4/V325^0.325</f>
        <v>1.029722495106207</v>
      </c>
      <c r="BY325" s="29"/>
      <c r="BZ325" s="48"/>
      <c r="CA325" t="s" s="19">
        <v>162</v>
      </c>
      <c r="CB325" s="42">
        <v>1997</v>
      </c>
      <c r="CC325" t="s" s="19">
        <v>254</v>
      </c>
      <c r="CD325" t="s" s="19">
        <v>415</v>
      </c>
      <c r="CE325" s="3"/>
      <c r="CF325" s="3"/>
      <c r="CG325" t="s" s="30">
        <f>A325</f>
        <v>1947</v>
      </c>
    </row>
    <row r="326" ht="12.75" customHeight="1">
      <c r="A326" t="s" s="91">
        <v>1948</v>
      </c>
      <c r="B326" t="s" s="19">
        <v>1115</v>
      </c>
      <c r="C326" t="s" s="19">
        <v>754</v>
      </c>
      <c r="D326" t="s" s="19">
        <v>427</v>
      </c>
      <c r="E326" t="s" s="19">
        <v>1949</v>
      </c>
      <c r="F326" s="3"/>
      <c r="G326" s="3"/>
      <c r="H326" s="32"/>
      <c r="I326" s="32"/>
      <c r="J326" t="s" s="24">
        <v>154</v>
      </c>
      <c r="K326" s="36"/>
      <c r="L326" s="36"/>
      <c r="M326" s="11">
        <v>8.5</v>
      </c>
      <c r="N326" s="5">
        <v>8.5</v>
      </c>
      <c r="O326" s="11">
        <v>5.06</v>
      </c>
      <c r="P326" s="11"/>
      <c r="Q326" s="37"/>
      <c r="R326" t="s" s="24">
        <v>1890</v>
      </c>
      <c r="S326" s="36"/>
      <c r="T326" s="38">
        <f>IF(S326&gt;0,1.048,IF(R326&gt;0,1.048,IF(Q326&gt;0,1.036,0.907+1.55*(P326/N326)-4.449*(P326/N326)^2)))</f>
        <v>1.048</v>
      </c>
      <c r="U326" s="39">
        <v>1000</v>
      </c>
      <c r="V326" s="40">
        <f>IF(H326="x",75+U326,IF(M326&lt;6.66,150+U326,-1.7384*M326^2+92.38*M326-388+U326))</f>
        <v>1271.6306</v>
      </c>
      <c r="W326" s="5"/>
      <c r="X326" s="5"/>
      <c r="Y326" s="5"/>
      <c r="Z326" s="5"/>
      <c r="AA326" s="5"/>
      <c r="AB326" s="5"/>
      <c r="AC326" s="5">
        <v>9.800000000000001</v>
      </c>
      <c r="AD326" s="33">
        <v>28</v>
      </c>
      <c r="AE326" s="5">
        <f>IF(AD326=0,(W326+4*X326+2*Y326+4*Z326+AA326)*AC326/12+W326*AB326/1.5,AD326)</f>
        <v>28</v>
      </c>
      <c r="AF326" s="11">
        <v>10.5</v>
      </c>
      <c r="AG326" s="11">
        <v>0.47</v>
      </c>
      <c r="AH326" s="5">
        <f>IF(AC326=0,AE326+AF326*AG326/2,AE326+AC326*AG326/2)</f>
        <v>30.303</v>
      </c>
      <c r="AI326" s="3"/>
      <c r="AJ326" s="3"/>
      <c r="AK326" s="33">
        <v>13</v>
      </c>
      <c r="AL326" s="5">
        <f>IF(AK326=0,AI326*AJ326/2,AK326)</f>
        <v>13</v>
      </c>
      <c r="AM326" s="3"/>
      <c r="AN326" s="5"/>
      <c r="AO326" s="5"/>
      <c r="AP326" s="5">
        <f>AL326+AI326*(AN326-AO326)/2</f>
        <v>13</v>
      </c>
      <c r="AQ326" s="5">
        <f>0.1*(AE326+AL326)</f>
        <v>4.100000000000001</v>
      </c>
      <c r="AR326" s="11">
        <v>10.5</v>
      </c>
      <c r="AS326" s="11"/>
      <c r="AT326" s="11"/>
      <c r="AU326" s="11"/>
      <c r="AV326" s="33">
        <v>0</v>
      </c>
      <c r="AW326" s="5">
        <f>IF(AV326=0,AS326/6*(AT326+AU326*4),AV326)</f>
        <v>0</v>
      </c>
      <c r="AX326" s="11"/>
      <c r="AY326" s="5">
        <f>IF(AX326&lt;0.149*M326+0.329,1,AX326/(0.149*M326+0.329))</f>
        <v>1</v>
      </c>
      <c r="AZ326" s="5">
        <f>IF(AW326*AY326&gt;AL326,(AW326*AY326-AL326)/4,0)</f>
        <v>0</v>
      </c>
      <c r="BA326" s="12">
        <f>0.401+0.1831*(2*AR326^2/(AH326+AP326+AZ326))-0.02016*(2*AR326^2/(AH326+AP326+AZ326))^2+0.0007472*(2*AR326^2/(AH326+AP326+AZ326))^3</f>
        <v>0.9092794242512563</v>
      </c>
      <c r="BB326" s="3"/>
      <c r="BC326" s="3"/>
      <c r="BD326" s="3"/>
      <c r="BE326" s="3"/>
      <c r="BF326" s="33">
        <v>45</v>
      </c>
      <c r="BG326" s="5">
        <f>IF(BF326=0,(BC326+BD326)*(BB326/12+BE326/3),BF326)</f>
        <v>45</v>
      </c>
      <c r="BH326" s="5">
        <f>IF(BG326*AY326&gt;AL326+AZ326,BG326*AY326-AL326-AZ326,0)</f>
        <v>32</v>
      </c>
      <c r="BI326" s="5">
        <f>IF(M326/1.6&lt;8,ROUND(M326/1.6,0),8)</f>
        <v>5</v>
      </c>
      <c r="BJ326" s="5">
        <f>(AH326+AP326+AZ326)*BA326+0.1*BH326</f>
        <v>42.57452690835215</v>
      </c>
      <c r="BK326" s="11">
        <v>1.1</v>
      </c>
      <c r="BL326" s="5">
        <f>M326*0.2</f>
        <v>1.7</v>
      </c>
      <c r="BM326" s="5">
        <f>ROUNDDOWN(M326/2.13,0)</f>
        <v>3</v>
      </c>
      <c r="BN326" s="12">
        <f>M326/4.26</f>
        <v>1.995305164319249</v>
      </c>
      <c r="BO326" s="5">
        <f>IF(M326&lt;8,1.22,IF(M326&lt;15.2,0.108333*M326+0.353,2))</f>
        <v>1.2738305</v>
      </c>
      <c r="BP326" s="12">
        <f>IF(BK326&lt;BO326,1+0.3*(BO326-BK326)/M326,1)</f>
        <v>1.006135194117647</v>
      </c>
      <c r="BQ326" s="32"/>
      <c r="BR326" s="39">
        <v>0</v>
      </c>
      <c r="BS326" t="s" s="24">
        <v>154</v>
      </c>
      <c r="BT326" s="36"/>
      <c r="BU326" s="36"/>
      <c r="BV326" s="5">
        <f>IF(BQ326&lt;(M326/0.3048)^0.5,1,IF(BU326="x",1-BR326*0.02,IF(BT326="x",1-BR326*0.01,1)))</f>
        <v>1</v>
      </c>
      <c r="BW326" s="12">
        <f>IF(K326="x",MIN(1.315,1.28+U326*N326/BJ326/AR326/1100),IF(L326="x",1.28,MAX(1.245,1.28-U326*N326/BJ326/AR326/1100)))</f>
        <v>1.262714294453232</v>
      </c>
      <c r="BX326" s="41">
        <f>BW326*T326*BV326*BP326*N326^0.3*BJ326^0.4/V326^0.325</f>
        <v>1.111452776171352</v>
      </c>
      <c r="BY326" s="29"/>
      <c r="BZ326" s="29"/>
      <c r="CA326" t="s" s="19">
        <v>162</v>
      </c>
      <c r="CB326" t="s" s="19">
        <v>430</v>
      </c>
      <c r="CC326" t="s" s="19">
        <v>180</v>
      </c>
      <c r="CD326" s="3"/>
      <c r="CE326" s="3"/>
      <c r="CF326" s="3"/>
      <c r="CG326" t="s" s="30">
        <f>A326</f>
        <v>1950</v>
      </c>
    </row>
    <row r="327" ht="12.75" customHeight="1">
      <c r="A327" t="s" s="92">
        <v>1951</v>
      </c>
      <c r="B327" t="s" s="93">
        <v>1952</v>
      </c>
      <c r="C327" s="3"/>
      <c r="D327" s="3"/>
      <c r="E327" s="3"/>
      <c r="F327" s="3"/>
      <c r="G327" s="3"/>
      <c r="H327" t="s" s="20">
        <v>154</v>
      </c>
      <c r="I327" s="32"/>
      <c r="J327" s="36"/>
      <c r="K327" s="36"/>
      <c r="L327" s="36"/>
      <c r="M327" s="11">
        <v>5.49</v>
      </c>
      <c r="N327" s="5">
        <v>5.49</v>
      </c>
      <c r="O327" s="11"/>
      <c r="P327" s="11"/>
      <c r="Q327" s="37"/>
      <c r="R327" t="s" s="24">
        <v>161</v>
      </c>
      <c r="S327" s="36"/>
      <c r="T327" s="38">
        <f>IF(S327&gt;0,1.048,IF(R327&gt;0,1.048,IF(Q327&gt;0,1.036,0.907+1.55*(P327/N327)-4.449*(P327/N327)^2)))</f>
        <v>1.048</v>
      </c>
      <c r="U327" s="39">
        <v>95</v>
      </c>
      <c r="V327" s="40">
        <f>IF(H327="x",75+U327,IF(M327&lt;6.66,150+U327,-1.7384*M327^2+92.38*M327-388+U327))</f>
        <v>170</v>
      </c>
      <c r="W327" s="5"/>
      <c r="X327" s="5"/>
      <c r="Y327" s="5"/>
      <c r="Z327" s="5"/>
      <c r="AA327" s="5"/>
      <c r="AB327" s="5"/>
      <c r="AC327" s="5"/>
      <c r="AD327" s="33">
        <f>150*0.3048*0.3048</f>
        <v>13.935456</v>
      </c>
      <c r="AE327" s="5">
        <f>IF(AD327=0,(W327+4*X327+2*Y327+4*Z327+AA327)*AC327/12+W327*AB327/1.5,AD327)</f>
        <v>13.935456</v>
      </c>
      <c r="AF327" s="11"/>
      <c r="AG327" s="11"/>
      <c r="AH327" s="5">
        <f>IF(AC327=0,AE327+AF327*AG327/2,AE327+AC327*AG327/2)</f>
        <v>13.935456</v>
      </c>
      <c r="AI327" s="3"/>
      <c r="AJ327" s="3"/>
      <c r="AK327" s="33"/>
      <c r="AL327" s="5">
        <f>IF(AK327=0,AI327*AJ327/2,AK327)</f>
        <v>0</v>
      </c>
      <c r="AM327" s="3"/>
      <c r="AN327" s="5"/>
      <c r="AO327" s="5"/>
      <c r="AP327" s="5">
        <f>AL327+AI327*(AN327-AO327)/2</f>
        <v>0</v>
      </c>
      <c r="AQ327" s="5">
        <f>0.1*(AE327+AL327)</f>
        <v>1.3935456</v>
      </c>
      <c r="AR327" s="11">
        <v>9.15</v>
      </c>
      <c r="AS327" s="11"/>
      <c r="AT327" s="11"/>
      <c r="AU327" s="11"/>
      <c r="AV327" s="33"/>
      <c r="AW327" s="5">
        <f>IF(AV327=0,AS327/6*(AT327+AU327*4),AV327)</f>
        <v>0</v>
      </c>
      <c r="AX327" s="11"/>
      <c r="AY327" s="5">
        <f>IF(AX327&lt;0.149*M327+0.329,1,AX327/(0.149*M327+0.329))</f>
        <v>1</v>
      </c>
      <c r="AZ327" s="5">
        <f>IF(AW327*AY327&gt;AL327,(AW327*AY327-AL327)/4,0)</f>
        <v>0</v>
      </c>
      <c r="BA327" s="12">
        <f>0.401+0.1831*(2*AR327^2/(AH327+AP327+AZ327))-0.02016*(2*AR327^2/(AH327+AP327+AZ327))^2+0.0007472*(2*AR327^2/(AH327+AP327+AZ327))^3</f>
        <v>0.9866706396638654</v>
      </c>
      <c r="BB327" s="3"/>
      <c r="BC327" s="3"/>
      <c r="BD327" s="3"/>
      <c r="BE327" s="3"/>
      <c r="BF327" s="33"/>
      <c r="BG327" s="5">
        <f>IF(BF327=0,(BC327+BD327)*(BB327/12+BE327/3),BF327)</f>
        <v>0</v>
      </c>
      <c r="BH327" s="5">
        <f>IF(BG327*AY327&gt;AL327+AZ327,BG327*AY327-AL327-AZ327,0)</f>
        <v>0</v>
      </c>
      <c r="BI327" s="5">
        <f>IF(M327/1.6&lt;8,ROUND(M327/1.6,0),8)</f>
        <v>3</v>
      </c>
      <c r="BJ327" s="5">
        <f>(AH327+AP327+AZ327)*BA327+0.1*BH327</f>
        <v>13.74970528552765</v>
      </c>
      <c r="BK327" s="11"/>
      <c r="BL327" s="5">
        <f>M327*0.2</f>
        <v>1.098</v>
      </c>
      <c r="BM327" s="5">
        <f>ROUNDDOWN(M327/2.13,0)</f>
        <v>2</v>
      </c>
      <c r="BN327" s="12">
        <f>M327/4.26</f>
        <v>1.288732394366197</v>
      </c>
      <c r="BO327" s="5">
        <f>IF(M327&lt;8,1.22,IF(M327&lt;15.2,0.108333*M327+0.353,2))</f>
        <v>1.22</v>
      </c>
      <c r="BP327" s="12">
        <f>IF(BK327&lt;BO327,1+0.3*(BO327-BK327)/M327,1)</f>
        <v>1.066666666666667</v>
      </c>
      <c r="BQ327" s="32"/>
      <c r="BR327" s="39">
        <v>0</v>
      </c>
      <c r="BS327" t="s" s="24">
        <v>154</v>
      </c>
      <c r="BT327" s="36"/>
      <c r="BU327" s="36"/>
      <c r="BV327" s="5">
        <f>IF(BQ327&lt;(M327/0.3048)^0.5,1,IF(BU327="x",1-BR327*0.02,IF(BT327="x",1-BR327*0.01,1)))</f>
        <v>1</v>
      </c>
      <c r="BW327" s="12">
        <f>IF(K327="x",MIN(1.315,1.28+U327*N327/BJ327/AR327/1100),IF(L327="x",1.28,MAX(1.245,1.28-U327*N327/BJ327/AR327/1100)))</f>
        <v>1.27623132418171</v>
      </c>
      <c r="BX327" s="41">
        <f>BW327*T327*BV327*BP327*N327^0.3*BJ327^0.4/V327^0.325</f>
        <v>1.278240476753731</v>
      </c>
      <c r="BY327" s="29"/>
      <c r="BZ327" s="29"/>
      <c r="CA327" s="3"/>
      <c r="CB327" s="3"/>
      <c r="CC327" s="3"/>
      <c r="CD327" s="3"/>
      <c r="CE327" s="3"/>
      <c r="CF327" s="3"/>
      <c r="CG327" t="s" s="30">
        <f>A327</f>
        <v>1953</v>
      </c>
    </row>
    <row r="328" ht="12.75" customHeight="1">
      <c r="A328" s="94"/>
      <c r="B328" t="s" s="93">
        <v>1954</v>
      </c>
      <c r="C328" t="s" s="19">
        <v>304</v>
      </c>
      <c r="D328" t="s" s="19">
        <v>305</v>
      </c>
      <c r="E328" s="3"/>
      <c r="F328" s="3"/>
      <c r="G328" s="3"/>
      <c r="H328" s="32"/>
      <c r="I328" s="32"/>
      <c r="J328" t="s" s="24">
        <v>154</v>
      </c>
      <c r="K328" s="36"/>
      <c r="L328" s="36"/>
      <c r="M328" s="11">
        <v>11.3</v>
      </c>
      <c r="N328" s="5">
        <v>11.3</v>
      </c>
      <c r="O328" s="11">
        <v>6</v>
      </c>
      <c r="P328" s="11">
        <v>0.95</v>
      </c>
      <c r="Q328" s="37"/>
      <c r="R328" s="36"/>
      <c r="S328" s="36"/>
      <c r="T328" s="38">
        <f>IF(S328&gt;0,1.048,IF(R328&gt;0,1.048,IF(Q328&gt;0,1.036,0.907+1.55*(P328/N328)-4.449*(P328/N328)^2)))</f>
        <v>1.005864652674446</v>
      </c>
      <c r="U328" s="39">
        <v>4500</v>
      </c>
      <c r="V328" s="40">
        <f>IF(H328="x",75+U328,IF(M328&lt;6.66,150+U328,-1.7384*M328^2+92.38*M328-388+U328))</f>
        <v>4933.917704</v>
      </c>
      <c r="W328" s="5"/>
      <c r="X328" s="5"/>
      <c r="Y328" s="5"/>
      <c r="Z328" s="5"/>
      <c r="AA328" s="5"/>
      <c r="AB328" s="5"/>
      <c r="AC328" s="5">
        <v>14.5</v>
      </c>
      <c r="AD328" s="33">
        <v>47</v>
      </c>
      <c r="AE328" s="5">
        <f>IF(AD328=0,(W328+4*X328+2*Y328+4*Z328+AA328)*AC328/12+W328*AB328/1.5,AD328)</f>
        <v>47</v>
      </c>
      <c r="AF328" s="11"/>
      <c r="AG328" s="11"/>
      <c r="AH328" s="5">
        <f>IF(AC328=0,AE328+AF328*AG328/2,AE328+AC328*AG328/2)</f>
        <v>47</v>
      </c>
      <c r="AI328" s="3"/>
      <c r="AJ328" s="3"/>
      <c r="AK328" s="33">
        <v>22</v>
      </c>
      <c r="AL328" s="5">
        <f>IF(AK328=0,AI328*AJ328/2,AK328)</f>
        <v>22</v>
      </c>
      <c r="AM328" s="3"/>
      <c r="AN328" s="5"/>
      <c r="AO328" s="5"/>
      <c r="AP328" s="5">
        <f>AL328+AI328*(AN328-AO328)/2</f>
        <v>22</v>
      </c>
      <c r="AQ328" s="5">
        <f>0.1*(AE328+AL328)</f>
        <v>6.9</v>
      </c>
      <c r="AR328" s="11">
        <v>15.35</v>
      </c>
      <c r="AS328" s="11"/>
      <c r="AT328" s="11"/>
      <c r="AU328" s="11"/>
      <c r="AV328" s="33"/>
      <c r="AW328" s="5">
        <f>IF(AV328=0,AS328/6*(AT328+AU328*4),AV328)</f>
        <v>0</v>
      </c>
      <c r="AX328" s="11">
        <v>0</v>
      </c>
      <c r="AY328" s="5">
        <f>IF(AX328&lt;0.149*M328+0.329,1,AX328/(0.149*M328+0.329))</f>
        <v>1</v>
      </c>
      <c r="AZ328" s="5">
        <f>IF(AW328*AY328&gt;AL328,(AW328*AY328-AL328)/4,0)</f>
        <v>0</v>
      </c>
      <c r="BA328" s="12">
        <f>0.401+0.1831*(2*AR328^2/(AH328+AP328+AZ328))-0.02016*(2*AR328^2/(AH328+AP328+AZ328))^2+0.0007472*(2*AR328^2/(AH328+AP328+AZ328))^3</f>
        <v>0.9491936018416399</v>
      </c>
      <c r="BB328" s="3"/>
      <c r="BC328" s="3"/>
      <c r="BD328" s="3"/>
      <c r="BE328" s="3"/>
      <c r="BF328" s="33">
        <v>83</v>
      </c>
      <c r="BG328" s="5">
        <f>IF(BF328=0,(BC328+BD328)*(BB328/12+BE328/3),BF328)</f>
        <v>83</v>
      </c>
      <c r="BH328" s="5">
        <f>IF(BG328*AY328&gt;AL328+AZ328,BG328*AY328-AL328-AZ328,0)</f>
        <v>61</v>
      </c>
      <c r="BI328" s="5">
        <f>IF(M328/1.6&lt;8,ROUND(M328/1.6,0),8)</f>
        <v>7</v>
      </c>
      <c r="BJ328" s="5">
        <f>(AH328+AP328+AZ328)*BA328+0.1*BH328</f>
        <v>71.59435852707315</v>
      </c>
      <c r="BK328" s="11">
        <v>1.9</v>
      </c>
      <c r="BL328" s="5">
        <f>M328*0.2</f>
        <v>2.26</v>
      </c>
      <c r="BM328" s="5">
        <f>ROUNDDOWN(M328/2.13,0)</f>
        <v>5</v>
      </c>
      <c r="BN328" s="12">
        <f>M328/4.26</f>
        <v>2.652582159624413</v>
      </c>
      <c r="BO328" s="5">
        <f>IF(M328&lt;8,1.22,IF(M328&lt;15.2,0.108333*M328+0.353,2))</f>
        <v>1.5771629</v>
      </c>
      <c r="BP328" s="12">
        <f>IF(BK328&lt;BO328,1+0.3*(BO328-BK328)/M328,1)</f>
        <v>1</v>
      </c>
      <c r="BQ328" s="39">
        <v>8</v>
      </c>
      <c r="BR328" s="39">
        <v>2</v>
      </c>
      <c r="BS328" s="36"/>
      <c r="BT328" s="36"/>
      <c r="BU328" t="s" s="24">
        <v>154</v>
      </c>
      <c r="BV328" s="5">
        <f>IF(BQ328&lt;(M328/0.3048)^0.5,1,IF(BU328="x",1-BR328*0.02,IF(BT328="x",1-BR328*0.01,1)))</f>
        <v>0.96</v>
      </c>
      <c r="BW328" s="12">
        <f>IF(K328="x",MIN(1.315,1.28+U328*N328/BJ328/AR328/1100),IF(L328="x",1.28,MAX(1.245,1.28-U328*N328/BJ328/AR328/1100)))</f>
        <v>1.245</v>
      </c>
      <c r="BX328" s="41">
        <f>BW328*T328*BV328*BP328*N328^0.3*BJ328^0.4/V328^0.325</f>
        <v>0.8660995585665358</v>
      </c>
      <c r="BY328" s="48"/>
      <c r="BZ328" s="48"/>
      <c r="CA328" t="s" s="19">
        <v>1955</v>
      </c>
      <c r="CB328" s="42">
        <v>1995</v>
      </c>
      <c r="CC328" t="s" s="19">
        <v>164</v>
      </c>
      <c r="CD328" s="3"/>
      <c r="CE328" s="3"/>
      <c r="CF328" s="3"/>
      <c r="CG328" s="95">
        <f>A328</f>
      </c>
    </row>
    <row r="329" ht="12.75" customHeight="1">
      <c r="A329" s="94"/>
      <c r="B329" t="s" s="93">
        <v>149</v>
      </c>
      <c r="C329" t="s" s="19">
        <v>150</v>
      </c>
      <c r="D329" t="s" s="19">
        <v>151</v>
      </c>
      <c r="E329" s="3"/>
      <c r="F329" s="3"/>
      <c r="G329" s="3"/>
      <c r="H329" s="32"/>
      <c r="I329" s="32"/>
      <c r="J329" s="36"/>
      <c r="K329" t="s" s="24">
        <v>154</v>
      </c>
      <c r="L329" s="36"/>
      <c r="M329" s="11">
        <v>6.55</v>
      </c>
      <c r="N329" s="5">
        <v>6.52</v>
      </c>
      <c r="O329" s="11">
        <v>4.68</v>
      </c>
      <c r="P329" s="11"/>
      <c r="Q329" s="37">
        <v>1.3</v>
      </c>
      <c r="R329" s="36"/>
      <c r="S329" s="36"/>
      <c r="T329" s="38">
        <f>IF(S329&gt;0,1.048,IF(R329&gt;0,1.048,IF(Q329&gt;0,1.036,0.907+1.55*(P329/N329)-4.449*(P329/N329)^2)))</f>
        <v>1.036</v>
      </c>
      <c r="U329" s="39">
        <v>720</v>
      </c>
      <c r="V329" s="40">
        <f>IF(H329="x",75+U329,IF(M329&lt;6.66,150+U329,-1.7384*M329^2+92.38*M329-388+U329))</f>
        <v>870</v>
      </c>
      <c r="W329" s="5">
        <v>7.5</v>
      </c>
      <c r="X329" s="5"/>
      <c r="Y329" s="5"/>
      <c r="Z329" s="5"/>
      <c r="AA329" s="5"/>
      <c r="AB329" s="5"/>
      <c r="AC329" s="5"/>
      <c r="AD329" s="33">
        <v>19</v>
      </c>
      <c r="AE329" s="5">
        <f>IF(AD329=0,(W329+4*X329+2*Y329+4*Z329+AA329)*AC329/12+W329*AB329/1.5,AD329)</f>
        <v>19</v>
      </c>
      <c r="AF329" s="11">
        <v>8</v>
      </c>
      <c r="AG329" s="11"/>
      <c r="AH329" s="5">
        <f>IF(AC329=0,AE329+AF329*AG329/2,AE329+AC329*AG329/2)</f>
        <v>19</v>
      </c>
      <c r="AI329" s="5">
        <v>7.4</v>
      </c>
      <c r="AJ329" s="3"/>
      <c r="AK329" s="33">
        <v>9</v>
      </c>
      <c r="AL329" s="5">
        <f>IF(AK329=0,AI329*AJ329/2,AK329)</f>
        <v>9</v>
      </c>
      <c r="AM329" t="s" s="19">
        <v>154</v>
      </c>
      <c r="AN329" s="5"/>
      <c r="AO329" s="5"/>
      <c r="AP329" s="5">
        <f>AL329+AI329*(AN329-AO329)/2</f>
        <v>9</v>
      </c>
      <c r="AQ329" s="5">
        <f>0.1*(AE329+AL329)</f>
        <v>2.8</v>
      </c>
      <c r="AR329" s="11">
        <v>8.5</v>
      </c>
      <c r="AS329" s="11"/>
      <c r="AT329" s="11"/>
      <c r="AU329" s="11"/>
      <c r="AV329" s="33">
        <v>25</v>
      </c>
      <c r="AW329" s="5">
        <f>IF(AV329=0,AS329/6*(AT329+AU329*4),AV329)</f>
        <v>25</v>
      </c>
      <c r="AX329" s="11">
        <v>0.9</v>
      </c>
      <c r="AY329" s="5">
        <f>IF(AX329&lt;0.149*M329+0.329,1,AX329/(0.149*M329+0.329))</f>
        <v>1</v>
      </c>
      <c r="AZ329" s="5">
        <f>IF(AW329*AY329&gt;AL329,(AW329*AY329-AL329)/4,0)</f>
        <v>4</v>
      </c>
      <c r="BA329" s="12">
        <f>0.401+0.1831*(2*AR329^2/(AH329+AP329+AZ329))-0.02016*(2*AR329^2/(AH329+AP329+AZ329))^2+0.0007472*(2*AR329^2/(AH329+AP329+AZ329))^3</f>
        <v>0.8855313374206544</v>
      </c>
      <c r="BB329" s="3"/>
      <c r="BC329" s="3"/>
      <c r="BD329" s="3"/>
      <c r="BE329" s="3"/>
      <c r="BF329" s="33"/>
      <c r="BG329" s="5">
        <f>IF(BF329=0,(BC329+BD329)*(BB329/12+BE329/3),BF329)</f>
        <v>0</v>
      </c>
      <c r="BH329" s="5">
        <f>IF(BG329*AY329&gt;AL329+AZ329,BG329*AY329-AL329-AZ329,0)</f>
        <v>0</v>
      </c>
      <c r="BI329" s="5">
        <f>IF(M329/1.6&lt;8,ROUND(M329/1.6,0),8)</f>
        <v>4</v>
      </c>
      <c r="BJ329" s="5">
        <f>(AH329+AP329+AZ329)*BA329+0.1*BH329</f>
        <v>28.33700279746094</v>
      </c>
      <c r="BK329" s="11">
        <v>1.5</v>
      </c>
      <c r="BL329" s="5">
        <f>M329*0.2</f>
        <v>1.31</v>
      </c>
      <c r="BM329" s="5">
        <f>ROUNDDOWN(M329/2.13,0)</f>
        <v>3</v>
      </c>
      <c r="BN329" s="12">
        <f>M329/4.26</f>
        <v>1.537558685446009</v>
      </c>
      <c r="BO329" s="5">
        <f>IF(M329&lt;8,1.22,IF(M329&lt;15.2,0.108333*M329+0.353,2))</f>
        <v>1.22</v>
      </c>
      <c r="BP329" s="12">
        <f>IF(BK329&lt;BO329,1+0.3*(BO329-BK329)/M329,1)</f>
        <v>1</v>
      </c>
      <c r="BQ329" s="39">
        <v>5</v>
      </c>
      <c r="BR329" s="39">
        <v>1</v>
      </c>
      <c r="BS329" t="s" s="24">
        <v>154</v>
      </c>
      <c r="BT329" s="36"/>
      <c r="BU329" s="36"/>
      <c r="BV329" s="5">
        <f>IF(BQ329&lt;(M329/0.3048)^0.5,1,IF(BU329="x",1-BR329*0.02,IF(BT329="x",1-BR329*0.01,1)))</f>
        <v>1</v>
      </c>
      <c r="BW329" s="12">
        <f>IF(K329="x",MIN(1.315,1.28+U329*N329/BJ329/AR329/1100),IF(L329="x",1.28,MAX(1.245,1.28-U329*N329/BJ329/AR329/1100)))</f>
        <v>1.29771799473285</v>
      </c>
      <c r="BX329" s="41">
        <f>BW329*T329*BV329*BP329*N329^0.3*BJ329^0.4/V329^0.325</f>
        <v>0.9963505595612802</v>
      </c>
      <c r="BY329" s="29"/>
      <c r="BZ329" s="29"/>
      <c r="CA329" s="3"/>
      <c r="CB329" s="3"/>
      <c r="CC329" s="3"/>
      <c r="CD329" s="3"/>
      <c r="CE329" s="3"/>
      <c r="CF329" s="3"/>
      <c r="CG329" s="95">
        <f>A329</f>
      </c>
    </row>
    <row r="330" ht="12.75" customHeight="1">
      <c r="A330" s="94"/>
      <c r="B330" t="s" s="93">
        <v>1805</v>
      </c>
      <c r="C330" t="s" s="19">
        <v>304</v>
      </c>
      <c r="D330" t="s" s="19">
        <v>305</v>
      </c>
      <c r="E330" s="3"/>
      <c r="F330" s="3"/>
      <c r="G330" s="3"/>
      <c r="H330" s="32"/>
      <c r="I330" s="32"/>
      <c r="J330" t="s" s="24">
        <v>154</v>
      </c>
      <c r="K330" s="36"/>
      <c r="L330" s="36"/>
      <c r="M330" s="11">
        <v>11.6</v>
      </c>
      <c r="N330" s="5">
        <v>11.47</v>
      </c>
      <c r="O330" s="11">
        <v>6.3</v>
      </c>
      <c r="P330" s="11">
        <v>0.95</v>
      </c>
      <c r="Q330" s="37"/>
      <c r="R330" s="36"/>
      <c r="S330" s="36"/>
      <c r="T330" s="38">
        <f>IF(S330&gt;0,1.048,IF(R330&gt;0,1.048,IF(Q330&gt;0,1.036,0.907+1.55*(P330/N330)-4.449*(P330/N330)^2)))</f>
        <v>1.004858501272034</v>
      </c>
      <c r="U330" s="39">
        <v>5500</v>
      </c>
      <c r="V330" s="40">
        <f>IF(H330="x",75+U330,IF(M330&lt;6.66,150+U330,-1.7384*M330^2+92.38*M330-388+U330))</f>
        <v>5949.688896</v>
      </c>
      <c r="W330" s="5"/>
      <c r="X330" s="5"/>
      <c r="Y330" s="5"/>
      <c r="Z330" s="5"/>
      <c r="AA330" s="5"/>
      <c r="AB330" s="5"/>
      <c r="AC330" s="5">
        <v>16</v>
      </c>
      <c r="AD330" s="33">
        <v>50</v>
      </c>
      <c r="AE330" s="5">
        <f>IF(AD330=0,(W330+4*X330+2*Y330+4*Z330+AA330)*AC330/12+W330*AB330/1.5,AD330)</f>
        <v>50</v>
      </c>
      <c r="AF330" s="11">
        <v>17.5</v>
      </c>
      <c r="AG330" s="11"/>
      <c r="AH330" s="5">
        <f>IF(AC330=0,AE330+AF330*AG330/2,AE330+AC330*AG330/2)</f>
        <v>50</v>
      </c>
      <c r="AI330" s="5">
        <v>15.3</v>
      </c>
      <c r="AJ330" s="3"/>
      <c r="AK330" s="33">
        <v>38</v>
      </c>
      <c r="AL330" s="5">
        <f>IF(AK330=0,AI330*AJ330/2,AK330)</f>
        <v>38</v>
      </c>
      <c r="AM330" s="3"/>
      <c r="AN330" s="5"/>
      <c r="AO330" s="5"/>
      <c r="AP330" s="5">
        <f>AL330+AI330*(AN330-AO330)/2</f>
        <v>38</v>
      </c>
      <c r="AQ330" s="5">
        <f>0.1*(AE330+AL330)</f>
        <v>8.800000000000001</v>
      </c>
      <c r="AR330" s="11">
        <v>16.3</v>
      </c>
      <c r="AS330" s="11"/>
      <c r="AT330" s="11"/>
      <c r="AU330" s="11"/>
      <c r="AV330" s="33"/>
      <c r="AW330" s="5">
        <f>IF(AV330=0,AS330/6*(AT330+AU330*4),AV330)</f>
        <v>0</v>
      </c>
      <c r="AX330" s="11">
        <v>0</v>
      </c>
      <c r="AY330" s="5">
        <f>IF(AX330&lt;0.149*M330+0.329,1,AX330/(0.149*M330+0.329))</f>
        <v>1</v>
      </c>
      <c r="AZ330" s="5">
        <f>IF(AW330*AY330&gt;AL330,(AW330*AY330-AL330)/4,0)</f>
        <v>0</v>
      </c>
      <c r="BA330" s="12">
        <f>0.401+0.1831*(2*AR330^2/(AH330+AP330+AZ330))-0.02016*(2*AR330^2/(AH330+AP330+AZ330))^2+0.0007472*(2*AR330^2/(AH330+AP330+AZ330))^3</f>
        <v>0.9360656414930543</v>
      </c>
      <c r="BB330" s="3"/>
      <c r="BC330" s="3"/>
      <c r="BD330" s="3"/>
      <c r="BE330" s="3"/>
      <c r="BF330" s="33">
        <v>106</v>
      </c>
      <c r="BG330" s="5">
        <f>IF(BF330=0,(BC330+BD330)*(BB330/12+BE330/3),BF330)</f>
        <v>106</v>
      </c>
      <c r="BH330" s="5">
        <f>IF(BG330*AY330&gt;AL330+AZ330,BG330*AY330-AL330-AZ330,0)</f>
        <v>68</v>
      </c>
      <c r="BI330" s="5">
        <f>IF(M330/1.6&lt;8,ROUND(M330/1.6,0),8)</f>
        <v>7</v>
      </c>
      <c r="BJ330" s="5">
        <f>(AH330+AP330+AZ330)*BA330+0.1*BH330</f>
        <v>89.17377645138878</v>
      </c>
      <c r="BK330" s="11">
        <v>2</v>
      </c>
      <c r="BL330" s="5">
        <f>M330*0.2</f>
        <v>2.32</v>
      </c>
      <c r="BM330" s="5">
        <f>ROUNDDOWN(M330/2.13,0)</f>
        <v>5</v>
      </c>
      <c r="BN330" s="12">
        <f>M330/4.26</f>
        <v>2.723004694835681</v>
      </c>
      <c r="BO330" s="5">
        <f>IF(M330&lt;8,1.22,IF(M330&lt;15.2,0.108333*M330+0.353,2))</f>
        <v>1.6096628</v>
      </c>
      <c r="BP330" s="12">
        <f>IF(BK330&lt;BO330,1+0.3*(BO330-BK330)/M330,1)</f>
        <v>1</v>
      </c>
      <c r="BQ330" s="39">
        <v>8</v>
      </c>
      <c r="BR330" s="39">
        <v>2</v>
      </c>
      <c r="BS330" s="36"/>
      <c r="BT330" s="36"/>
      <c r="BU330" t="s" s="24">
        <v>154</v>
      </c>
      <c r="BV330" s="5">
        <f>IF(BQ330&lt;(M330/0.3048)^0.5,1,IF(BU330="x",1-BR330*0.02,IF(BT330="x",1-BR330*0.01,1)))</f>
        <v>0.96</v>
      </c>
      <c r="BW330" s="12">
        <f>IF(K330="x",MIN(1.315,1.28+U330*N330/BJ330/AR330/1100),IF(L330="x",1.28,MAX(1.245,1.28-U330*N330/BJ330/AR330/1100)))</f>
        <v>1.245</v>
      </c>
      <c r="BX330" s="41">
        <f>BW330*T330*BV330*BP330*N330^0.3*BJ330^0.4/V330^0.325</f>
        <v>0.8928916279353174</v>
      </c>
      <c r="BY330" s="44">
        <v>17.5</v>
      </c>
      <c r="BZ330" s="48"/>
      <c r="CA330" t="s" s="19">
        <v>1956</v>
      </c>
      <c r="CB330" t="s" s="19">
        <v>1957</v>
      </c>
      <c r="CC330" t="s" s="19">
        <v>164</v>
      </c>
      <c r="CD330" t="s" s="19">
        <v>1036</v>
      </c>
      <c r="CE330" s="3"/>
      <c r="CF330" s="3"/>
      <c r="CG330" s="95">
        <f>A330</f>
      </c>
    </row>
    <row r="331" ht="12.75" customHeight="1">
      <c r="A331" s="94"/>
      <c r="B331" t="s" s="93">
        <v>303</v>
      </c>
      <c r="C331" t="s" s="19">
        <v>304</v>
      </c>
      <c r="D331" t="s" s="19">
        <v>305</v>
      </c>
      <c r="E331" s="3"/>
      <c r="F331" s="3"/>
      <c r="G331" s="3"/>
      <c r="H331" s="32"/>
      <c r="I331" s="32"/>
      <c r="J331" t="s" s="24">
        <v>154</v>
      </c>
      <c r="K331" s="36"/>
      <c r="L331" s="36"/>
      <c r="M331" s="11">
        <v>14.04</v>
      </c>
      <c r="N331" s="5">
        <v>14.04</v>
      </c>
      <c r="O331" s="11">
        <v>7.39</v>
      </c>
      <c r="P331" s="11">
        <v>1.3</v>
      </c>
      <c r="Q331" s="37"/>
      <c r="R331" s="36"/>
      <c r="S331" s="36"/>
      <c r="T331" s="38">
        <f>IF(S331&gt;0,1.048,IF(R331&gt;0,1.048,IF(Q331&gt;0,1.036,0.907+1.55*(P331/N331)-4.449*(P331/N331)^2)))</f>
        <v>1.012375514403292</v>
      </c>
      <c r="U331" s="39">
        <v>9500</v>
      </c>
      <c r="V331" s="40">
        <f>IF(H331="x",75+U331,IF(M331&lt;6.66,150+U331,-1.7384*M331^2+92.38*M331-388+U331))</f>
        <v>10066.33901056</v>
      </c>
      <c r="W331" s="5"/>
      <c r="X331" s="5"/>
      <c r="Y331" s="5"/>
      <c r="Z331" s="5"/>
      <c r="AA331" s="5"/>
      <c r="AB331" s="5"/>
      <c r="AC331" s="5"/>
      <c r="AD331" s="33">
        <v>72</v>
      </c>
      <c r="AE331" s="5">
        <f>IF(AD331=0,(W331+4*X331+2*Y331+4*Z331+AA331)*AC331/12+W331*AB331/1.5,AD331)</f>
        <v>72</v>
      </c>
      <c r="AF331" s="11"/>
      <c r="AG331" s="11"/>
      <c r="AH331" s="5">
        <f>IF(AC331=0,AE331+AF331*AG331/2,AE331+AC331*AG331/2)</f>
        <v>72</v>
      </c>
      <c r="AI331" s="3"/>
      <c r="AJ331" s="3"/>
      <c r="AK331" s="33">
        <v>51</v>
      </c>
      <c r="AL331" s="5">
        <f>IF(AK331=0,AI331*AJ331/2,AK331)</f>
        <v>51</v>
      </c>
      <c r="AM331" s="3"/>
      <c r="AN331" s="5"/>
      <c r="AO331" s="5"/>
      <c r="AP331" s="5">
        <f>AL331+AI331*(AN331-AO331)/2</f>
        <v>51</v>
      </c>
      <c r="AQ331" s="5">
        <f>0.1*(AE331+AL331)</f>
        <v>12.3</v>
      </c>
      <c r="AR331" s="11">
        <v>20.27</v>
      </c>
      <c r="AS331" s="11"/>
      <c r="AT331" s="11"/>
      <c r="AU331" s="11"/>
      <c r="AV331" s="33"/>
      <c r="AW331" s="5">
        <f>IF(AV331=0,AS331/6*(AT331+AU331*4),AV331)</f>
        <v>0</v>
      </c>
      <c r="AX331" s="11">
        <v>0</v>
      </c>
      <c r="AY331" s="5">
        <f>IF(AX331&lt;0.149*M331+0.329,1,AX331/(0.149*M331+0.329))</f>
        <v>1</v>
      </c>
      <c r="AZ331" s="5">
        <f>IF(AW331*AY331&gt;AL331,(AW331*AY331-AL331)/4,0)</f>
        <v>0</v>
      </c>
      <c r="BA331" s="12">
        <f>0.401+0.1831*(2*AR331^2/(AH331+AP331+AZ331))-0.02016*(2*AR331^2/(AH331+AP331+AZ331))^2+0.0007472*(2*AR331^2/(AH331+AP331+AZ331))^3</f>
        <v>0.9472558786915055</v>
      </c>
      <c r="BB331" s="3"/>
      <c r="BC331" s="3"/>
      <c r="BD331" s="3"/>
      <c r="BE331" s="3"/>
      <c r="BF331" s="33">
        <v>148</v>
      </c>
      <c r="BG331" s="5">
        <f>IF(BF331=0,(BC331+BD331)*(BB331/12+BE331/3),BF331)</f>
        <v>148</v>
      </c>
      <c r="BH331" s="5">
        <f>IF(BG331*AY331&gt;AL331+AZ331,BG331*AY331-AL331-AZ331,0)</f>
        <v>97</v>
      </c>
      <c r="BI331" s="42">
        <f>IF(M331/1.6&lt;8,ROUND(M331/1.6,0),8)</f>
        <v>8</v>
      </c>
      <c r="BJ331" s="5">
        <f>(AH331+AP331+AZ331)*BA331+0.1*BH331</f>
        <v>126.2124730790552</v>
      </c>
      <c r="BK331" s="11">
        <v>2</v>
      </c>
      <c r="BL331" s="5">
        <f>M331*0.2</f>
        <v>2.808</v>
      </c>
      <c r="BM331" s="5">
        <f>ROUNDDOWN(M331/2.13,0)</f>
        <v>6</v>
      </c>
      <c r="BN331" s="12">
        <f>M331/4.26</f>
        <v>3.295774647887324</v>
      </c>
      <c r="BO331" s="5">
        <f>IF(M331&lt;8,1.22,IF(M331&lt;15.2,0.108333*M331+0.353,2))</f>
        <v>1.87399532</v>
      </c>
      <c r="BP331" s="12">
        <f>IF(BK331&lt;BO331,1+0.3*(BO331-BK331)/M331,1)</f>
        <v>1</v>
      </c>
      <c r="BQ331" s="39">
        <v>10</v>
      </c>
      <c r="BR331" s="39">
        <v>2</v>
      </c>
      <c r="BS331" s="36"/>
      <c r="BT331" s="36"/>
      <c r="BU331" t="s" s="24">
        <v>154</v>
      </c>
      <c r="BV331" s="5">
        <f>IF(BQ331&lt;(M331/0.3048)^0.5,1,IF(BU331="x",1-BR331*0.02,IF(BT331="x",1-BR331*0.01,1)))</f>
        <v>0.96</v>
      </c>
      <c r="BW331" s="12">
        <f>IF(K331="x",MIN(1.315,1.28+U331*N331/BJ331/AR331/1100),IF(L331="x",1.28,MAX(1.245,1.28-U331*N331/BJ331/AR331/1100)))</f>
        <v>1.245</v>
      </c>
      <c r="BX331" s="41">
        <f>BW331*T331*BV331*BP331*N331^0.3*BJ331^0.4/V331^0.325</f>
        <v>0.9257633970666894</v>
      </c>
      <c r="BY331" s="29"/>
      <c r="BZ331" s="29"/>
      <c r="CA331" t="s" s="19">
        <v>1956</v>
      </c>
      <c r="CB331" t="s" s="19">
        <v>1957</v>
      </c>
      <c r="CC331" t="s" s="19">
        <v>164</v>
      </c>
      <c r="CD331" t="s" s="19">
        <v>1958</v>
      </c>
      <c r="CE331" s="3"/>
      <c r="CF331" s="3"/>
      <c r="CG331" s="95">
        <f>A331</f>
      </c>
    </row>
    <row r="332" ht="12.75" customHeight="1">
      <c r="A332" s="94"/>
      <c r="B332" t="s" s="93">
        <v>1959</v>
      </c>
      <c r="C332" s="3"/>
      <c r="D332" s="3"/>
      <c r="E332" s="3"/>
      <c r="F332" s="3"/>
      <c r="G332" s="3"/>
      <c r="H332" s="32"/>
      <c r="I332" t="s" s="20">
        <v>154</v>
      </c>
      <c r="J332" s="36"/>
      <c r="K332" s="36"/>
      <c r="L332" s="36"/>
      <c r="M332" s="11">
        <v>6.1</v>
      </c>
      <c r="N332" s="5">
        <v>6.1</v>
      </c>
      <c r="O332" s="11"/>
      <c r="P332" s="11"/>
      <c r="Q332" s="37"/>
      <c r="R332" t="s" s="24">
        <v>161</v>
      </c>
      <c r="S332" s="36"/>
      <c r="T332" s="38">
        <f>IF(S332&gt;0,1.048,IF(R332&gt;0,1.048,IF(Q332&gt;0,1.036,0.907+1.55*(P332/N332)-4.449*(P332/N332)^2)))</f>
        <v>1.048</v>
      </c>
      <c r="U332" s="39">
        <v>185</v>
      </c>
      <c r="V332" s="40">
        <f>IF(H332="x",75+U332,IF(M332&lt;6.66,150+U332,-1.7384*M332^2+92.38*M332-388+U332))</f>
        <v>335</v>
      </c>
      <c r="W332" s="5"/>
      <c r="X332" s="5"/>
      <c r="Y332" s="5"/>
      <c r="Z332" s="5"/>
      <c r="AA332" s="5"/>
      <c r="AB332" s="5"/>
      <c r="AC332" s="5"/>
      <c r="AD332" s="33">
        <v>21.88</v>
      </c>
      <c r="AE332" s="5">
        <f>IF(AD332=0,(W332+4*X332+2*Y332+4*Z332+AA332)*AC332/12+W332*AB332/1.5,AD332)</f>
        <v>21.88</v>
      </c>
      <c r="AF332" s="11"/>
      <c r="AG332" s="11"/>
      <c r="AH332" s="5">
        <f>IF(AC332=0,AE332+AF332*AG332/2,AE332+AC332*AG332/2)</f>
        <v>21.88</v>
      </c>
      <c r="AI332" s="3"/>
      <c r="AJ332" s="3"/>
      <c r="AK332" s="33"/>
      <c r="AL332" s="5">
        <f>IF(AK332=0,AI332*AJ332/2,AK332)</f>
        <v>0</v>
      </c>
      <c r="AM332" s="3"/>
      <c r="AN332" s="5"/>
      <c r="AO332" s="5"/>
      <c r="AP332" s="5">
        <f>AL332+AI332*(AN332-AO332)/2</f>
        <v>0</v>
      </c>
      <c r="AQ332" s="5">
        <f>0.1*(AE332+AL332)</f>
        <v>2.188</v>
      </c>
      <c r="AR332" s="11">
        <v>9.75</v>
      </c>
      <c r="AS332" s="11"/>
      <c r="AT332" s="11"/>
      <c r="AU332" s="11"/>
      <c r="AV332" s="33"/>
      <c r="AW332" s="5">
        <f>IF(AV332=0,AS332/6*(AT332+AU332*4),AV332)</f>
        <v>0</v>
      </c>
      <c r="AX332" s="11"/>
      <c r="AY332" s="5">
        <f>IF(AX332&lt;0.149*M332+0.329,1,AX332/(0.149*M332+0.329))</f>
        <v>1</v>
      </c>
      <c r="AZ332" s="5">
        <f>IF(AW332*AY332&gt;AL332,(AW332*AY332-AL332)/4,0)</f>
        <v>0</v>
      </c>
      <c r="BA332" s="12">
        <f>0.401+0.1831*(2*AR332^2/(AH332+AP332+AZ332))-0.02016*(2*AR332^2/(AH332+AP332+AZ332))^2+0.0007472*(2*AR332^2/(AH332+AP332+AZ332))^3</f>
        <v>0.9600720347997258</v>
      </c>
      <c r="BB332" s="3"/>
      <c r="BC332" s="3"/>
      <c r="BD332" s="3"/>
      <c r="BE332" s="3"/>
      <c r="BF332" s="33"/>
      <c r="BG332" s="5">
        <f>IF(BF332=0,(BC332+BD332)*(BB332/12+BE332/3),BF332)</f>
        <v>0</v>
      </c>
      <c r="BH332" s="5">
        <f>IF(BG332*AY332&gt;AL332+AZ332,BG332*AY332-AL332-AZ332,0)</f>
        <v>0</v>
      </c>
      <c r="BI332" s="5">
        <f>IF(M332/1.6&lt;8,ROUND(M332/1.6,0),8)</f>
        <v>4</v>
      </c>
      <c r="BJ332" s="5">
        <f>(AH332+AP332+AZ332)*BA332+0.1*BH332</f>
        <v>21.006376121418</v>
      </c>
      <c r="BK332" s="11"/>
      <c r="BL332" s="5">
        <f>M332*0.2</f>
        <v>1.22</v>
      </c>
      <c r="BM332" s="5">
        <f>ROUNDDOWN(M332/2.13,0)</f>
        <v>2</v>
      </c>
      <c r="BN332" s="12">
        <f>M332/4.26</f>
        <v>1.431924882629108</v>
      </c>
      <c r="BO332" s="5">
        <f>IF(M332&lt;8,1.22,IF(M332&lt;15.2,0.108333*M332+0.353,2))</f>
        <v>1.22</v>
      </c>
      <c r="BP332" s="12">
        <f>IF(BK332&lt;BO332,1+0.3*(BO332-BK332)/M332,1)</f>
        <v>1.06</v>
      </c>
      <c r="BQ332" s="32"/>
      <c r="BR332" s="39">
        <v>0</v>
      </c>
      <c r="BS332" t="s" s="24">
        <v>154</v>
      </c>
      <c r="BT332" s="36"/>
      <c r="BU332" s="36"/>
      <c r="BV332" s="5">
        <f>IF(BQ332&lt;(M332/0.3048)^0.5,1,IF(BU332="x",1-BR332*0.02,IF(BT332="x",1-BR332*0.01,1)))</f>
        <v>1</v>
      </c>
      <c r="BW332" s="12">
        <f>IF(K332="x",MIN(1.315,1.28+U332*N332/BJ332/AR332/1100),IF(L332="x",1.28,MAX(1.245,1.28-U332*N332/BJ332/AR332/1100)))</f>
        <v>1.274990975853557</v>
      </c>
      <c r="BX332" s="41">
        <f>BW332*T332*BV332*BP332*N332^0.3*BJ332^0.4/V332^0.325</f>
        <v>1.244726976575051</v>
      </c>
      <c r="BY332" s="29"/>
      <c r="BZ332" s="29"/>
      <c r="CA332" s="3"/>
      <c r="CB332" s="3"/>
      <c r="CC332" s="3"/>
      <c r="CD332" s="3"/>
      <c r="CE332" s="3"/>
      <c r="CF332" s="3"/>
      <c r="CG332" s="95">
        <f>A332</f>
      </c>
    </row>
    <row r="333" ht="12.75" customHeight="1">
      <c r="A333" s="94"/>
      <c r="B333" t="s" s="93">
        <v>1960</v>
      </c>
      <c r="C333" t="s" s="19">
        <v>304</v>
      </c>
      <c r="D333" t="s" s="19">
        <v>305</v>
      </c>
      <c r="E333" s="3"/>
      <c r="F333" s="3"/>
      <c r="G333" s="3"/>
      <c r="H333" s="32"/>
      <c r="I333" s="32"/>
      <c r="J333" t="s" s="24">
        <v>154</v>
      </c>
      <c r="K333" s="36"/>
      <c r="L333" s="36"/>
      <c r="M333" s="11">
        <v>13</v>
      </c>
      <c r="N333" s="5">
        <v>13</v>
      </c>
      <c r="O333" s="11">
        <v>7</v>
      </c>
      <c r="P333" s="11">
        <v>1.3</v>
      </c>
      <c r="Q333" s="37"/>
      <c r="R333" s="36"/>
      <c r="S333" s="36"/>
      <c r="T333" s="38">
        <f>IF(S333&gt;0,1.048,IF(R333&gt;0,1.048,IF(Q333&gt;0,1.036,0.907+1.55*(P333/N333)-4.449*(P333/N333)^2)))</f>
        <v>1.01751</v>
      </c>
      <c r="U333" s="39">
        <v>8600</v>
      </c>
      <c r="V333" s="40">
        <f>IF(H333="x",75+U333,IF(M333&lt;6.66,150+U333,-1.7384*M333^2+92.38*M333-388+U333))</f>
        <v>9119.1504</v>
      </c>
      <c r="W333" s="5"/>
      <c r="X333" s="5"/>
      <c r="Y333" s="5"/>
      <c r="Z333" s="5"/>
      <c r="AA333" s="5"/>
      <c r="AB333" s="5"/>
      <c r="AC333" s="5"/>
      <c r="AD333" s="33">
        <v>67</v>
      </c>
      <c r="AE333" s="5">
        <f>IF(AD333=0,(W333+4*X333+2*Y333+4*Z333+AA333)*AC333/12+W333*AB333/1.5,AD333)</f>
        <v>67</v>
      </c>
      <c r="AF333" s="11"/>
      <c r="AG333" s="11"/>
      <c r="AH333" s="5">
        <f>IF(AC333=0,AE333+AF333*AG333/2,AE333+AC333*AG333/2)</f>
        <v>67</v>
      </c>
      <c r="AI333" s="3"/>
      <c r="AJ333" s="3"/>
      <c r="AK333" s="33">
        <v>44</v>
      </c>
      <c r="AL333" s="5">
        <f>IF(AK333=0,AI333*AJ333/2,AK333)</f>
        <v>44</v>
      </c>
      <c r="AM333" s="3"/>
      <c r="AN333" s="5"/>
      <c r="AO333" s="5"/>
      <c r="AP333" s="5">
        <f>AL333+AI333*(AN333-AO333)/2</f>
        <v>44</v>
      </c>
      <c r="AQ333" s="5">
        <f>0.1*(AE333+AL333)</f>
        <v>11.1</v>
      </c>
      <c r="AR333" s="11">
        <v>17.53</v>
      </c>
      <c r="AS333" s="11"/>
      <c r="AT333" s="11"/>
      <c r="AU333" s="11"/>
      <c r="AV333" s="33"/>
      <c r="AW333" s="5">
        <f>IF(AV333=0,AS333/6*(AT333+AU333*4),AV333)</f>
        <v>0</v>
      </c>
      <c r="AX333" s="11">
        <v>0</v>
      </c>
      <c r="AY333" s="5">
        <f>IF(AX333&lt;0.149*M333+0.329,1,AX333/(0.149*M333+0.329))</f>
        <v>1</v>
      </c>
      <c r="AZ333" s="5">
        <f>IF(AW333*AY333&gt;AL333,(AW333*AY333-AL333)/4,0)</f>
        <v>0</v>
      </c>
      <c r="BA333" s="12">
        <f>0.401+0.1831*(2*AR333^2/(AH333+AP333+AZ333))-0.02016*(2*AR333^2/(AH333+AP333+AZ333))^2+0.0007472*(2*AR333^2/(AH333+AP333+AZ333))^3</f>
        <v>0.9235918692118852</v>
      </c>
      <c r="BB333" s="3"/>
      <c r="BC333" s="3"/>
      <c r="BD333" s="3"/>
      <c r="BE333" s="3"/>
      <c r="BF333" s="33">
        <v>133</v>
      </c>
      <c r="BG333" s="5">
        <f>IF(BF333=0,(BC333+BD333)*(BB333/12+BE333/3),BF333)</f>
        <v>133</v>
      </c>
      <c r="BH333" s="5">
        <f>IF(BG333*AY333&gt;AL333+AZ333,BG333*AY333-AL333-AZ333,0)</f>
        <v>89</v>
      </c>
      <c r="BI333" s="42">
        <f>IF(M333/1.6&lt;8,ROUND(M333/1.6,0),8)</f>
        <v>8</v>
      </c>
      <c r="BJ333" s="5">
        <f>(AH333+AP333+AZ333)*BA333+0.1*BH333</f>
        <v>111.4186974825193</v>
      </c>
      <c r="BK333" s="11">
        <v>2</v>
      </c>
      <c r="BL333" s="5">
        <f>M333*0.2</f>
        <v>2.6</v>
      </c>
      <c r="BM333" s="5">
        <f>ROUNDDOWN(M333/2.13,0)</f>
        <v>6</v>
      </c>
      <c r="BN333" s="12">
        <f>M333/4.26</f>
        <v>3.051643192488263</v>
      </c>
      <c r="BO333" s="5">
        <f>IF(M333&lt;8,1.22,IF(M333&lt;15.2,0.108333*M333+0.353,2))</f>
        <v>1.761329</v>
      </c>
      <c r="BP333" s="12">
        <f>IF(BK333&lt;BO333,1+0.3*(BO333-BK333)/M333,1)</f>
        <v>1</v>
      </c>
      <c r="BQ333" s="39">
        <v>8</v>
      </c>
      <c r="BR333" s="39">
        <v>2</v>
      </c>
      <c r="BS333" s="36"/>
      <c r="BT333" s="36"/>
      <c r="BU333" t="s" s="24">
        <v>154</v>
      </c>
      <c r="BV333" s="5">
        <f>IF(BQ333&lt;(M333/0.3048)^0.5,1,IF(BU333="x",1-BR333*0.02,IF(BT333="x",1-BR333*0.01,1)))</f>
        <v>0.96</v>
      </c>
      <c r="BW333" s="12">
        <f>IF(K333="x",MIN(1.315,1.28+U333*N333/BJ333/AR333/1100),IF(L333="x",1.28,MAX(1.245,1.28-U333*N333/BJ333/AR333/1100)))</f>
        <v>1.245</v>
      </c>
      <c r="BX333" s="41">
        <f>BW333*T333*BV333*BP333*N333^0.3*BJ333^0.4/V333^0.325</f>
        <v>0.8932238982629122</v>
      </c>
      <c r="BY333" s="48"/>
      <c r="BZ333" s="48"/>
      <c r="CA333" t="s" s="19">
        <v>1956</v>
      </c>
      <c r="CB333" t="s" s="19">
        <v>1957</v>
      </c>
      <c r="CC333" t="s" s="19">
        <v>164</v>
      </c>
      <c r="CD333" t="s" s="19">
        <v>1036</v>
      </c>
      <c r="CE333" s="3"/>
      <c r="CF333" s="3"/>
      <c r="CG333" s="95">
        <f>A333</f>
      </c>
    </row>
    <row r="334" ht="12.75" customHeight="1">
      <c r="A334" s="94"/>
      <c r="B334" t="s" s="93">
        <v>1961</v>
      </c>
      <c r="C334" t="s" s="19">
        <v>784</v>
      </c>
      <c r="D334" t="s" s="19">
        <v>219</v>
      </c>
      <c r="E334" s="3"/>
      <c r="F334" s="3"/>
      <c r="G334" s="3"/>
      <c r="H334" s="32"/>
      <c r="I334" s="32"/>
      <c r="J334" t="s" s="24">
        <v>154</v>
      </c>
      <c r="K334" s="36"/>
      <c r="L334" s="36"/>
      <c r="M334" s="11">
        <v>11.9</v>
      </c>
      <c r="N334" s="5">
        <v>11.75</v>
      </c>
      <c r="O334" s="11"/>
      <c r="P334" s="11"/>
      <c r="Q334" s="37"/>
      <c r="R334" t="s" s="24">
        <v>161</v>
      </c>
      <c r="S334" s="36"/>
      <c r="T334" s="38">
        <f>IF(S334&gt;0,1.048,IF(R334&gt;0,1.048,IF(Q334&gt;0,1.036,0.907+1.55*(P334/N334)-4.449*(P334/N334)^2)))</f>
        <v>1.048</v>
      </c>
      <c r="U334" s="39">
        <v>3800</v>
      </c>
      <c r="V334" s="40">
        <f>IF(H334="x",75+U334,IF(M334&lt;6.66,150+U334,-1.7384*M334^2+92.38*M334-388+U334))</f>
        <v>4265.147175999999</v>
      </c>
      <c r="W334" s="5"/>
      <c r="X334" s="5"/>
      <c r="Y334" s="5"/>
      <c r="Z334" s="5"/>
      <c r="AA334" s="5"/>
      <c r="AB334" s="5"/>
      <c r="AC334" s="5"/>
      <c r="AD334" s="33">
        <v>38</v>
      </c>
      <c r="AE334" s="5">
        <f>IF(AD334=0,(W334+4*X334+2*Y334+4*Z334+AA334)*AC334/12+W334*AB334/1.5,AD334)</f>
        <v>38</v>
      </c>
      <c r="AF334" s="11">
        <v>16.7</v>
      </c>
      <c r="AG334" s="11"/>
      <c r="AH334" s="5">
        <f>IF(AC334=0,AE334+AF334*AG334/2,AE334+AC334*AG334/2)</f>
        <v>38</v>
      </c>
      <c r="AI334" s="3"/>
      <c r="AJ334" s="3"/>
      <c r="AK334" s="33">
        <v>30</v>
      </c>
      <c r="AL334" s="5">
        <f>IF(AK334=0,AI334*AJ334/2,AK334)</f>
        <v>30</v>
      </c>
      <c r="AM334" s="3"/>
      <c r="AN334" s="5"/>
      <c r="AO334" s="5"/>
      <c r="AP334" s="5">
        <f>AL334+AI334*(AN334-AO334)/2</f>
        <v>30</v>
      </c>
      <c r="AQ334" s="5">
        <f>0.1*(AE334+AL334)</f>
        <v>6.800000000000001</v>
      </c>
      <c r="AR334" s="11">
        <v>16.7</v>
      </c>
      <c r="AS334" s="11"/>
      <c r="AT334" s="11"/>
      <c r="AU334" s="11"/>
      <c r="AV334" s="33">
        <v>0</v>
      </c>
      <c r="AW334" s="5">
        <f>IF(AV334=0,AS334/6*(AT334+AU334*4),AV334)</f>
        <v>0</v>
      </c>
      <c r="AX334" s="11">
        <v>0</v>
      </c>
      <c r="AY334" s="5">
        <f>IF(AX334&lt;0.149*M334+0.329,1,AX334/(0.149*M334+0.329))</f>
        <v>1</v>
      </c>
      <c r="AZ334" s="5">
        <f>IF(AW334*AY334&gt;AL334,(AW334*AY334-AL334)/4,0)</f>
        <v>0</v>
      </c>
      <c r="BA334" s="12">
        <f>0.401+0.1831*(2*AR334^2/(AH334+AP334+AZ334))-0.02016*(2*AR334^2/(AH334+AP334+AZ334))^2+0.0007472*(2*AR334^2/(AH334+AP334+AZ334))^3</f>
        <v>0.9588522308717412</v>
      </c>
      <c r="BB334" s="3"/>
      <c r="BC334" s="3"/>
      <c r="BD334" s="3"/>
      <c r="BE334" s="3"/>
      <c r="BF334" s="33">
        <v>82</v>
      </c>
      <c r="BG334" s="5">
        <f>IF(BF334=0,(BC334+BD334)*(BB334/12+BE334/3),BF334)</f>
        <v>82</v>
      </c>
      <c r="BH334" s="5">
        <f>IF(BG334*AY334&gt;AL334+AZ334,BG334*AY334-AL334-AZ334,0)</f>
        <v>52</v>
      </c>
      <c r="BI334" s="5">
        <f>IF(M334/1.6&lt;8,ROUND(M334/1.6,0),8)</f>
        <v>7</v>
      </c>
      <c r="BJ334" s="5">
        <f>(AH334+AP334+AZ334)*BA334+0.1*BH334</f>
        <v>70.4019516992784</v>
      </c>
      <c r="BK334" s="11">
        <v>1.9</v>
      </c>
      <c r="BL334" s="5">
        <f>M334*0.2</f>
        <v>2.38</v>
      </c>
      <c r="BM334" s="5">
        <f>ROUNDDOWN(M334/2.13,0)</f>
        <v>5</v>
      </c>
      <c r="BN334" s="12">
        <f>M334/4.26</f>
        <v>2.793427230046948</v>
      </c>
      <c r="BO334" s="5">
        <f>IF(M334&lt;8,1.22,IF(M334&lt;15.2,0.108333*M334+0.353,2))</f>
        <v>1.6421627</v>
      </c>
      <c r="BP334" s="12">
        <f>IF(BK334&lt;BO334,1+0.3*(BO334-BK334)/M334,1)</f>
        <v>1</v>
      </c>
      <c r="BQ334" s="39">
        <v>8</v>
      </c>
      <c r="BR334" s="39">
        <v>2</v>
      </c>
      <c r="BS334" s="36"/>
      <c r="BT334" t="s" s="24">
        <v>154</v>
      </c>
      <c r="BU334" s="36"/>
      <c r="BV334" s="5">
        <f>IF(BQ334&lt;(M334/0.3048)^0.5,1,IF(BU334="x",1-BR334*0.02,IF(BT334="x",1-BR334*0.01,1)))</f>
        <v>0.98</v>
      </c>
      <c r="BW334" s="12">
        <f>IF(K334="x",MIN(1.315,1.28+U334*N334/BJ334/AR334/1100),IF(L334="x",1.28,MAX(1.245,1.28-U334*N334/BJ334/AR334/1100)))</f>
        <v>1.245475483277519</v>
      </c>
      <c r="BX334" s="41">
        <f>BW334*T334*BV334*BP334*N334^0.3*BJ334^0.4/V334^0.325</f>
        <v>0.9710447036468861</v>
      </c>
      <c r="BY334" s="29"/>
      <c r="BZ334" s="29"/>
      <c r="CA334" t="s" s="19">
        <v>1962</v>
      </c>
      <c r="CB334" t="s" s="19">
        <v>582</v>
      </c>
      <c r="CC334" t="s" s="19">
        <v>653</v>
      </c>
      <c r="CD334" t="s" s="19">
        <v>1963</v>
      </c>
      <c r="CE334" s="3"/>
      <c r="CF334" s="3"/>
      <c r="CG334" s="95">
        <f>A334</f>
      </c>
    </row>
    <row r="335" ht="12.75" customHeight="1">
      <c r="A335" s="94"/>
      <c r="B335" t="s" s="93">
        <v>1964</v>
      </c>
      <c r="C335" t="s" s="19">
        <v>218</v>
      </c>
      <c r="D335" t="s" s="19">
        <v>219</v>
      </c>
      <c r="E335" s="3"/>
      <c r="F335" s="3"/>
      <c r="G335" s="3"/>
      <c r="H335" s="32"/>
      <c r="I335" s="32"/>
      <c r="J335" t="s" s="24">
        <v>154</v>
      </c>
      <c r="K335" s="36"/>
      <c r="L335" s="36"/>
      <c r="M335" s="11">
        <v>12.4</v>
      </c>
      <c r="N335" s="5">
        <v>12.35</v>
      </c>
      <c r="O335" s="11">
        <v>7.5</v>
      </c>
      <c r="P335" s="11"/>
      <c r="Q335" s="37"/>
      <c r="R335" t="s" s="24">
        <v>1965</v>
      </c>
      <c r="S335" s="36"/>
      <c r="T335" s="38">
        <f>IF(S335&gt;0,1.048,IF(R335&gt;0,1.048,IF(Q335&gt;0,1.036,0.907+1.55*(P335/N335)-4.449*(P335/N335)^2)))</f>
        <v>1.048</v>
      </c>
      <c r="U335" s="39">
        <v>6600</v>
      </c>
      <c r="V335" s="40">
        <f>IF(H335="x",75+U335,IF(M335&lt;6.66,150+U335,-1.7384*M335^2+92.38*M335-388+U335))</f>
        <v>7090.215615999999</v>
      </c>
      <c r="W335" s="5"/>
      <c r="X335" s="5"/>
      <c r="Y335" s="5"/>
      <c r="Z335" s="5"/>
      <c r="AA335" s="5"/>
      <c r="AB335" s="5"/>
      <c r="AC335" s="5"/>
      <c r="AD335" s="33">
        <v>45</v>
      </c>
      <c r="AE335" s="5">
        <f>IF(AD335=0,(W335+4*X335+2*Y335+4*Z335+AA335)*AC335/12+W335*AB335/1.5,AD335)</f>
        <v>45</v>
      </c>
      <c r="AF335" s="11"/>
      <c r="AG335" s="11"/>
      <c r="AH335" s="5">
        <f>IF(AC335=0,AE335+AF335*AG335/2,AE335+AC335*AG335/2)</f>
        <v>45</v>
      </c>
      <c r="AI335" s="3"/>
      <c r="AJ335" s="3"/>
      <c r="AK335" s="33">
        <v>40</v>
      </c>
      <c r="AL335" s="5">
        <f>IF(AK335=0,AI335*AJ335/2,AK335)</f>
        <v>40</v>
      </c>
      <c r="AM335" s="3"/>
      <c r="AN335" s="5"/>
      <c r="AO335" s="5"/>
      <c r="AP335" s="5">
        <f>AL335+AI335*(AN335-AO335)/2</f>
        <v>40</v>
      </c>
      <c r="AQ335" s="5">
        <f>0.1*(AE335+AL335)</f>
        <v>8.5</v>
      </c>
      <c r="AR335" s="11">
        <v>15.9</v>
      </c>
      <c r="AS335" s="11"/>
      <c r="AT335" s="11"/>
      <c r="AU335" s="11"/>
      <c r="AV335" s="33">
        <v>0</v>
      </c>
      <c r="AW335" s="5">
        <f>IF(AV335=0,AS335/6*(AT335+AU335*4),AV335)</f>
        <v>0</v>
      </c>
      <c r="AX335" s="11">
        <v>0</v>
      </c>
      <c r="AY335" s="5">
        <f>IF(AX335&lt;0.149*M335+0.329,1,AX335/(0.149*M335+0.329))</f>
        <v>1</v>
      </c>
      <c r="AZ335" s="5">
        <f>IF(AW335*AY335&gt;AL335,(AW335*AY335-AL335)/4,0)</f>
        <v>0</v>
      </c>
      <c r="BA335" s="12">
        <f>0.401+0.1831*(2*AR335^2/(AH335+AP335+AZ335))-0.02016*(2*AR335^2/(AH335+AP335+AZ335))^2+0.0007472*(2*AR335^2/(AH335+AP335+AZ335))^3</f>
        <v>0.9340899399127439</v>
      </c>
      <c r="BB335" s="3"/>
      <c r="BC335" s="3"/>
      <c r="BD335" s="3"/>
      <c r="BE335" s="3"/>
      <c r="BF335" s="33">
        <v>102</v>
      </c>
      <c r="BG335" s="5">
        <f>IF(BF335=0,(BC335+BD335)*(BB335/12+BE335/3),BF335)</f>
        <v>102</v>
      </c>
      <c r="BH335" s="5">
        <f>IF(BG335*AY335&gt;AL335+AZ335,BG335*AY335-AL335-AZ335,0)</f>
        <v>62</v>
      </c>
      <c r="BI335" s="5">
        <f>IF(M335/1.6&lt;8,ROUND(M335/1.6,0),8)</f>
        <v>8</v>
      </c>
      <c r="BJ335" s="5">
        <f>(AH335+AP335+AZ335)*BA335+0.1*BH335</f>
        <v>85.59764489258323</v>
      </c>
      <c r="BK335" s="11">
        <v>2</v>
      </c>
      <c r="BL335" s="5">
        <f>M335*0.2</f>
        <v>2.48</v>
      </c>
      <c r="BM335" s="5">
        <f>ROUNDDOWN(M335/2.13,0)</f>
        <v>5</v>
      </c>
      <c r="BN335" s="12">
        <f>M335/4.26</f>
        <v>2.910798122065728</v>
      </c>
      <c r="BO335" s="5">
        <f>IF(M335&lt;8,1.22,IF(M335&lt;15.2,0.108333*M335+0.353,2))</f>
        <v>1.6963292</v>
      </c>
      <c r="BP335" s="12">
        <f>IF(BK335&lt;BO335,1+0.3*(BO335-BK335)/M335,1)</f>
        <v>1</v>
      </c>
      <c r="BQ335" s="39">
        <v>9.199999999999999</v>
      </c>
      <c r="BR335" s="39">
        <v>2</v>
      </c>
      <c r="BS335" s="36"/>
      <c r="BT335" t="s" s="24">
        <v>154</v>
      </c>
      <c r="BU335" s="36"/>
      <c r="BV335" s="5">
        <f>IF(BQ335&lt;(M335/0.3048)^0.5,1,IF(BU335="x",1-BR335*0.02,IF(BT335="x",1-BR335*0.01,1)))</f>
        <v>0.98</v>
      </c>
      <c r="BW335" s="12">
        <f>IF(K335="x",MIN(1.315,1.28+U335*N335/BJ335/AR335/1100),IF(L335="x",1.28,MAX(1.245,1.28-U335*N335/BJ335/AR335/1100)))</f>
        <v>1.245</v>
      </c>
      <c r="BX335" s="41">
        <f>BW335*T335*BV335*BP335*N335^0.3*BJ335^0.4/V335^0.325</f>
        <v>0.9031860155346779</v>
      </c>
      <c r="BY335" s="29"/>
      <c r="BZ335" s="29"/>
      <c r="CA335" t="s" s="19">
        <v>1956</v>
      </c>
      <c r="CB335" t="s" s="19">
        <v>1957</v>
      </c>
      <c r="CC335" t="s" s="19">
        <v>164</v>
      </c>
      <c r="CD335" t="s" s="19">
        <v>1036</v>
      </c>
      <c r="CE335" s="3"/>
      <c r="CF335" s="3"/>
      <c r="CG335" s="95">
        <f>A335</f>
      </c>
    </row>
    <row r="336" ht="12.75" customHeight="1">
      <c r="A336" s="94"/>
      <c r="B336" t="s" s="93">
        <v>292</v>
      </c>
      <c r="C336" t="s" s="19">
        <v>218</v>
      </c>
      <c r="D336" t="s" s="19">
        <v>219</v>
      </c>
      <c r="E336" s="3"/>
      <c r="F336" s="3"/>
      <c r="G336" s="3"/>
      <c r="H336" s="32"/>
      <c r="I336" s="32"/>
      <c r="J336" t="s" s="24">
        <v>154</v>
      </c>
      <c r="K336" s="36"/>
      <c r="L336" s="36"/>
      <c r="M336" s="11">
        <v>13.1</v>
      </c>
      <c r="N336" s="5">
        <v>13.1</v>
      </c>
      <c r="O336" s="11">
        <v>7.25</v>
      </c>
      <c r="P336" s="11"/>
      <c r="Q336" s="37"/>
      <c r="R336" t="s" s="24">
        <v>294</v>
      </c>
      <c r="S336" s="36"/>
      <c r="T336" s="38">
        <f>IF(S336&gt;0,1.048,IF(R336&gt;0,1.048,IF(Q336&gt;0,1.036,0.907+1.55*(P336/N336)-4.449*(P336/N336)^2)))</f>
        <v>1.048</v>
      </c>
      <c r="U336" s="39">
        <v>7200</v>
      </c>
      <c r="V336" s="40">
        <f>IF(H336="x",75+U336,IF(M336&lt;6.66,150+U336,-1.7384*M336^2+92.38*M336-388+U336))</f>
        <v>7723.851176</v>
      </c>
      <c r="W336" s="5"/>
      <c r="X336" s="5"/>
      <c r="Y336" s="5"/>
      <c r="Z336" s="5"/>
      <c r="AA336" s="5"/>
      <c r="AB336" s="5"/>
      <c r="AC336" s="5">
        <v>15.75</v>
      </c>
      <c r="AD336" s="33">
        <v>68</v>
      </c>
      <c r="AE336" s="5">
        <f>IF(AD336=0,(W336+4*X336+2*Y336+4*Z336+AA336)*AC336/12+W336*AB336/1.5,AD336)</f>
        <v>68</v>
      </c>
      <c r="AF336" s="11">
        <v>17.6</v>
      </c>
      <c r="AG336" s="11"/>
      <c r="AH336" s="5">
        <f>IF(AC336=0,AE336+AF336*AG336/2,AE336+AC336*AG336/2)</f>
        <v>68</v>
      </c>
      <c r="AI336" s="3"/>
      <c r="AJ336" s="3"/>
      <c r="AK336" s="33">
        <v>49</v>
      </c>
      <c r="AL336" s="5">
        <f>IF(AK336=0,AI336*AJ336/2,AK336)</f>
        <v>49</v>
      </c>
      <c r="AM336" s="3"/>
      <c r="AN336" s="5"/>
      <c r="AO336" s="5"/>
      <c r="AP336" s="5">
        <f>AL336+AI336*(AN336-AO336)/2</f>
        <v>49</v>
      </c>
      <c r="AQ336" s="5">
        <f>0.1*(AE336+AL336)</f>
        <v>11.7</v>
      </c>
      <c r="AR336" s="11">
        <v>17.6</v>
      </c>
      <c r="AS336" s="11"/>
      <c r="AT336" s="11"/>
      <c r="AU336" s="11"/>
      <c r="AV336" s="33"/>
      <c r="AW336" s="5">
        <f>IF(AV336=0,AS336/6*(AT336+AU336*4),AV336)</f>
        <v>0</v>
      </c>
      <c r="AX336" s="11">
        <v>0</v>
      </c>
      <c r="AY336" s="5">
        <f>IF(AX336&lt;0.149*M336+0.329,1,AX336/(0.149*M336+0.329))</f>
        <v>1</v>
      </c>
      <c r="AZ336" s="5">
        <f>IF(AW336*AY336&gt;AL336,(AW336*AY336-AL336)/4,0)</f>
        <v>0</v>
      </c>
      <c r="BA336" s="12">
        <f>0.401+0.1831*(2*AR336^2/(AH336+AP336+AZ336))-0.02016*(2*AR336^2/(AH336+AP336+AZ336))^2+0.0007472*(2*AR336^2/(AH336+AP336+AZ336))^3</f>
        <v>0.9162158214806915</v>
      </c>
      <c r="BB336" s="3"/>
      <c r="BC336" s="3"/>
      <c r="BD336" s="3"/>
      <c r="BE336" s="3"/>
      <c r="BF336" s="33">
        <v>122.5</v>
      </c>
      <c r="BG336" s="5">
        <f>IF(BF336=0,(BC336+BD336)*(BB336/12+BE336/3),BF336)</f>
        <v>122.5</v>
      </c>
      <c r="BH336" s="5">
        <f>IF(BG336*AY336&gt;AL336+AZ336,BG336*AY336-AL336-AZ336,0)</f>
        <v>73.5</v>
      </c>
      <c r="BI336" s="42">
        <f>IF(M336/1.6&lt;8,ROUND(M336/1.6,0),8)</f>
        <v>8</v>
      </c>
      <c r="BJ336" s="5">
        <f>(AH336+AP336+AZ336)*BA336+0.1*BH336</f>
        <v>114.5472511132409</v>
      </c>
      <c r="BK336" s="11">
        <v>2</v>
      </c>
      <c r="BL336" s="5">
        <f>M336*0.2</f>
        <v>2.62</v>
      </c>
      <c r="BM336" s="5">
        <f>ROUNDDOWN(M336/2.13,0)</f>
        <v>6</v>
      </c>
      <c r="BN336" s="12">
        <f>M336/4.26</f>
        <v>3.075117370892019</v>
      </c>
      <c r="BO336" s="5">
        <f>IF(M336&lt;8,1.22,IF(M336&lt;15.2,0.108333*M336+0.353,2))</f>
        <v>1.7721623</v>
      </c>
      <c r="BP336" s="12">
        <f>IF(BK336&lt;BO336,1+0.3*(BO336-BK336)/M336,1)</f>
        <v>1</v>
      </c>
      <c r="BQ336" s="39">
        <v>9.199999999999999</v>
      </c>
      <c r="BR336" s="39">
        <v>2</v>
      </c>
      <c r="BS336" s="36"/>
      <c r="BT336" t="s" s="24">
        <v>154</v>
      </c>
      <c r="BU336" s="36"/>
      <c r="BV336" s="5">
        <f>IF(BQ336&lt;(M336/0.3048)^0.5,1,IF(BU336="x",1-BR336*0.02,IF(BT336="x",1-BR336*0.01,1)))</f>
        <v>0.98</v>
      </c>
      <c r="BW336" s="12">
        <f>IF(K336="x",MIN(1.315,1.28+U336*N336/BJ336/AR336/1100),IF(L336="x",1.28,MAX(1.245,1.28-U336*N336/BJ336/AR336/1100)))</f>
        <v>1.245</v>
      </c>
      <c r="BX336" s="41">
        <f>BW336*T336*BV336*BP336*N336^0.3*BJ336^0.4/V336^0.325</f>
        <v>1.004583291316673</v>
      </c>
      <c r="BY336" s="29"/>
      <c r="BZ336" s="29"/>
      <c r="CA336" t="s" s="19">
        <v>1956</v>
      </c>
      <c r="CB336" t="s" s="19">
        <v>1957</v>
      </c>
      <c r="CC336" t="s" s="19">
        <v>164</v>
      </c>
      <c r="CD336" t="s" s="19">
        <v>1966</v>
      </c>
      <c r="CE336" s="3"/>
      <c r="CF336" s="3"/>
      <c r="CG336" s="95">
        <f>A336</f>
      </c>
    </row>
    <row r="337" ht="12.75" customHeight="1">
      <c r="A337" s="94"/>
      <c r="B337" t="s" s="93">
        <v>1967</v>
      </c>
      <c r="C337" t="s" s="19">
        <v>784</v>
      </c>
      <c r="D337" t="s" s="19">
        <v>219</v>
      </c>
      <c r="E337" s="3"/>
      <c r="F337" s="3"/>
      <c r="G337" s="3"/>
      <c r="H337" s="32"/>
      <c r="I337" s="32"/>
      <c r="J337" t="s" s="24">
        <v>154</v>
      </c>
      <c r="K337" s="36"/>
      <c r="L337" s="36"/>
      <c r="M337" s="11">
        <v>13.7</v>
      </c>
      <c r="N337" s="5">
        <v>13.6</v>
      </c>
      <c r="O337" s="11"/>
      <c r="P337" s="11"/>
      <c r="Q337" s="37"/>
      <c r="R337" t="s" s="24">
        <v>161</v>
      </c>
      <c r="S337" s="36"/>
      <c r="T337" s="38">
        <f>IF(S337&gt;0,1.048,IF(R337&gt;0,1.048,IF(Q337&gt;0,1.036,0.907+1.55*(P337/N337)-4.449*(P337/N337)^2)))</f>
        <v>1.048</v>
      </c>
      <c r="U337" s="39">
        <v>7300</v>
      </c>
      <c r="V337" s="40">
        <f>IF(H337="x",75+U337,IF(M337&lt;6.66,150+U337,-1.7384*M337^2+92.38*M337-388+U337))</f>
        <v>7851.325704</v>
      </c>
      <c r="W337" s="5"/>
      <c r="X337" s="5"/>
      <c r="Y337" s="5"/>
      <c r="Z337" s="5"/>
      <c r="AA337" s="5"/>
      <c r="AB337" s="5"/>
      <c r="AC337" s="5"/>
      <c r="AD337" s="33">
        <v>70</v>
      </c>
      <c r="AE337" s="5">
        <f>IF(AD337=0,(W337+4*X337+2*Y337+4*Z337+AA337)*AC337/12+W337*AB337/1.5,AD337)</f>
        <v>70</v>
      </c>
      <c r="AF337" s="11"/>
      <c r="AG337" s="11"/>
      <c r="AH337" s="5">
        <f>IF(AC337=0,AE337+AF337*AG337/2,AE337+AC337*AG337/2)</f>
        <v>70</v>
      </c>
      <c r="AI337" s="3"/>
      <c r="AJ337" s="3"/>
      <c r="AK337" s="33">
        <v>47</v>
      </c>
      <c r="AL337" s="5">
        <f>IF(AK337=0,AI337*AJ337/2,AK337)</f>
        <v>47</v>
      </c>
      <c r="AM337" s="3"/>
      <c r="AN337" s="5"/>
      <c r="AO337" s="5"/>
      <c r="AP337" s="5">
        <f>AL337+AI337*(AN337-AO337)/2</f>
        <v>47</v>
      </c>
      <c r="AQ337" s="5">
        <f>0.1*(AE337+AL337)</f>
        <v>11.7</v>
      </c>
      <c r="AR337" s="11">
        <v>18</v>
      </c>
      <c r="AS337" s="11"/>
      <c r="AT337" s="11"/>
      <c r="AU337" s="11"/>
      <c r="AV337" s="33">
        <v>0</v>
      </c>
      <c r="AW337" s="5">
        <f>IF(AV337=0,AS337/6*(AT337+AU337*4),AV337)</f>
        <v>0</v>
      </c>
      <c r="AX337" s="11">
        <v>0</v>
      </c>
      <c r="AY337" s="5">
        <f>IF(AX337&lt;0.149*M337+0.329,1,AX337/(0.149*M337+0.329))</f>
        <v>1</v>
      </c>
      <c r="AZ337" s="5">
        <f>IF(AW337*AY337&gt;AL337,(AW337*AY337-AL337)/4,0)</f>
        <v>0</v>
      </c>
      <c r="BA337" s="12">
        <f>0.401+0.1831*(2*AR337^2/(AH337+AP337+AZ337))-0.02016*(2*AR337^2/(AH337+AP337+AZ337))^2+0.0007472*(2*AR337^2/(AH337+AP337+AZ337))^3</f>
        <v>0.923634950204825</v>
      </c>
      <c r="BB337" s="3"/>
      <c r="BC337" s="3"/>
      <c r="BD337" s="3"/>
      <c r="BE337" s="3"/>
      <c r="BF337" s="33">
        <v>140</v>
      </c>
      <c r="BG337" s="5">
        <f>IF(BF337=0,(BC337+BD337)*(BB337/12+BE337/3),BF337)</f>
        <v>140</v>
      </c>
      <c r="BH337" s="5">
        <f>IF(BG337*AY337&gt;AL337+AZ337,BG337*AY337-AL337-AZ337,0)</f>
        <v>93</v>
      </c>
      <c r="BI337" s="42">
        <f>IF(M337/1.6&lt;8,ROUND(M337/1.6,0),8)</f>
        <v>8</v>
      </c>
      <c r="BJ337" s="5">
        <f>(AH337+AP337+AZ337)*BA337+0.1*BH337</f>
        <v>117.3652891739645</v>
      </c>
      <c r="BK337" s="11">
        <v>2</v>
      </c>
      <c r="BL337" s="5">
        <f>M337*0.2</f>
        <v>2.74</v>
      </c>
      <c r="BM337" s="5">
        <f>ROUNDDOWN(M337/2.13,0)</f>
        <v>6</v>
      </c>
      <c r="BN337" s="12">
        <f>M337/4.26</f>
        <v>3.215962441314554</v>
      </c>
      <c r="BO337" s="5">
        <f>IF(M337&lt;8,1.22,IF(M337&lt;15.2,0.108333*M337+0.353,2))</f>
        <v>1.8371621</v>
      </c>
      <c r="BP337" s="12">
        <f>IF(BK337&lt;BO337,1+0.3*(BO337-BK337)/M337,1)</f>
        <v>1</v>
      </c>
      <c r="BQ337" s="39">
        <v>8</v>
      </c>
      <c r="BR337" s="39">
        <v>2</v>
      </c>
      <c r="BS337" s="36"/>
      <c r="BT337" t="s" s="24">
        <v>154</v>
      </c>
      <c r="BU337" s="36"/>
      <c r="BV337" s="5">
        <f>IF(BQ337&lt;(M337/0.3048)^0.5,1,IF(BU337="x",1-BR337*0.02,IF(BT337="x",1-BR337*0.01,1)))</f>
        <v>0.98</v>
      </c>
      <c r="BW337" s="12">
        <f>IF(K337="x",MIN(1.315,1.28+U337*N337/BJ337/AR337/1100),IF(L337="x",1.28,MAX(1.245,1.28-U337*N337/BJ337/AR337/1100)))</f>
        <v>1.245</v>
      </c>
      <c r="BX337" s="41">
        <f>BW337*T337*BV337*BP337*N337^0.3*BJ337^0.4/V337^0.325</f>
        <v>1.020417219025732</v>
      </c>
      <c r="BY337" s="29"/>
      <c r="BZ337" s="29"/>
      <c r="CA337" t="s" s="19">
        <v>1962</v>
      </c>
      <c r="CB337" t="s" s="19">
        <v>582</v>
      </c>
      <c r="CC337" t="s" s="19">
        <v>653</v>
      </c>
      <c r="CD337" t="s" s="19">
        <v>1968</v>
      </c>
      <c r="CE337" s="3"/>
      <c r="CF337" s="3"/>
      <c r="CG337" s="95">
        <f>A337</f>
      </c>
    </row>
    <row r="338" ht="12.75" customHeight="1">
      <c r="A338" s="94"/>
      <c r="B338" t="s" s="93">
        <v>217</v>
      </c>
      <c r="C338" t="s" s="19">
        <v>218</v>
      </c>
      <c r="D338" t="s" s="19">
        <v>219</v>
      </c>
      <c r="E338" s="3"/>
      <c r="F338" s="3"/>
      <c r="G338" s="3"/>
      <c r="H338" s="32"/>
      <c r="I338" s="32"/>
      <c r="J338" t="s" s="24">
        <v>154</v>
      </c>
      <c r="K338" s="36"/>
      <c r="L338" s="36"/>
      <c r="M338" s="11">
        <v>14.3</v>
      </c>
      <c r="N338" s="5">
        <v>14.3</v>
      </c>
      <c r="O338" s="11">
        <v>7.5</v>
      </c>
      <c r="P338" s="11"/>
      <c r="Q338" s="37"/>
      <c r="R338" t="s" s="24">
        <v>221</v>
      </c>
      <c r="S338" s="36"/>
      <c r="T338" s="38">
        <f>IF(S338&gt;0,1.048,IF(R338&gt;0,1.048,IF(Q338&gt;0,1.036,0.907+1.55*(P338/N338)-4.449*(P338/N338)^2)))</f>
        <v>1.048</v>
      </c>
      <c r="U338" s="39">
        <v>10000</v>
      </c>
      <c r="V338" s="40">
        <f>IF(H338="x",75+U338,IF(M338&lt;6.66,150+U338,-1.7384*M338^2+92.38*M338-388+U338))</f>
        <v>10577.548584</v>
      </c>
      <c r="W338" s="5"/>
      <c r="X338" s="5"/>
      <c r="Y338" s="5"/>
      <c r="Z338" s="5"/>
      <c r="AA338" s="5"/>
      <c r="AB338" s="5"/>
      <c r="AC338" s="5">
        <v>17.8</v>
      </c>
      <c r="AD338" s="33">
        <v>88</v>
      </c>
      <c r="AE338" s="5">
        <f>IF(AD338=0,(W338+4*X338+2*Y338+4*Z338+AA338)*AC338/12+W338*AB338/1.5,AD338)</f>
        <v>88</v>
      </c>
      <c r="AF338" s="11">
        <v>19.5</v>
      </c>
      <c r="AG338" s="11"/>
      <c r="AH338" s="5">
        <f>IF(AC338=0,AE338+AF338*AG338/2,AE338+AC338*AG338/2)</f>
        <v>88</v>
      </c>
      <c r="AI338" s="3"/>
      <c r="AJ338" s="3"/>
      <c r="AK338" s="33">
        <v>60</v>
      </c>
      <c r="AL338" s="5">
        <f>IF(AK338=0,AI338*AJ338/2,AK338)</f>
        <v>60</v>
      </c>
      <c r="AM338" s="3"/>
      <c r="AN338" s="5"/>
      <c r="AO338" s="5"/>
      <c r="AP338" s="5">
        <f>AL338+AI338*(AN338-AO338)/2</f>
        <v>60</v>
      </c>
      <c r="AQ338" s="5">
        <f>0.1*(AE338+AL338)</f>
        <v>14.8</v>
      </c>
      <c r="AR338" s="11">
        <v>19.5</v>
      </c>
      <c r="AS338" s="11"/>
      <c r="AT338" s="11"/>
      <c r="AU338" s="11"/>
      <c r="AV338" s="33"/>
      <c r="AW338" s="5">
        <f>IF(AV338=0,AS338/6*(AT338+AU338*4),AV338)</f>
        <v>0</v>
      </c>
      <c r="AX338" s="11">
        <v>0</v>
      </c>
      <c r="AY338" s="5">
        <f>IF(AX338&lt;0.149*M338+0.329,1,AX338/(0.149*M338+0.329))</f>
        <v>1</v>
      </c>
      <c r="AZ338" s="5">
        <f>IF(AW338*AY338&gt;AL338,(AW338*AY338-AL338)/4,0)</f>
        <v>0</v>
      </c>
      <c r="BA338" s="12">
        <f>0.401+0.1831*(2*AR338^2/(AH338+AP338+AZ338))-0.02016*(2*AR338^2/(AH338+AP338+AZ338))^2+0.0007472*(2*AR338^2/(AH338+AP338+AZ338))^3</f>
        <v>0.9109300299826145</v>
      </c>
      <c r="BB338" s="3"/>
      <c r="BC338" s="3"/>
      <c r="BD338" s="3"/>
      <c r="BE338" s="3"/>
      <c r="BF338" s="33">
        <v>156</v>
      </c>
      <c r="BG338" s="5">
        <f>IF(BF338=0,(BC338+BD338)*(BB338/12+BE338/3),BF338)</f>
        <v>156</v>
      </c>
      <c r="BH338" s="5">
        <f>IF(BG338*AY338&gt;AL338+AZ338,BG338*AY338-AL338-AZ338,0)</f>
        <v>96</v>
      </c>
      <c r="BI338" s="42">
        <f>IF(M338/1.6&lt;8,ROUND(M338/1.6,0),8)</f>
        <v>8</v>
      </c>
      <c r="BJ338" s="5">
        <f>(AH338+AP338+AZ338)*BA338+0.1*BH338</f>
        <v>144.4176444374269</v>
      </c>
      <c r="BK338" s="11">
        <v>1.95</v>
      </c>
      <c r="BL338" s="5">
        <f>M338*0.2</f>
        <v>2.86</v>
      </c>
      <c r="BM338" s="5">
        <f>ROUNDDOWN(M338/2.13,0)</f>
        <v>6</v>
      </c>
      <c r="BN338" s="12">
        <f>M338/4.26</f>
        <v>3.356807511737089</v>
      </c>
      <c r="BO338" s="5">
        <f>IF(M338&lt;8,1.22,IF(M338&lt;15.2,0.108333*M338+0.353,2))</f>
        <v>1.9021619</v>
      </c>
      <c r="BP338" s="12">
        <f>IF(BK338&lt;BO338,1+0.3*(BO338-BK338)/M338,1)</f>
        <v>1</v>
      </c>
      <c r="BQ338" s="39">
        <v>7</v>
      </c>
      <c r="BR338" s="39">
        <v>2</v>
      </c>
      <c r="BS338" s="36"/>
      <c r="BT338" t="s" s="24">
        <v>154</v>
      </c>
      <c r="BU338" s="36"/>
      <c r="BV338" s="5">
        <f>IF(BQ338&lt;(M338/0.3048)^0.5,1,IF(BU338="x",1-BR338*0.02,IF(BT338="x",1-BR338*0.01,1)))</f>
        <v>0.98</v>
      </c>
      <c r="BW338" s="12">
        <f>IF(K338="x",MIN(1.315,1.28+U338*N338/BJ338/AR338/1100),IF(L338="x",1.28,MAX(1.245,1.28-U338*N338/BJ338/AR338/1100)))</f>
        <v>1.245</v>
      </c>
      <c r="BX338" s="41">
        <f>BW338*T338*BV338*BP338*N338^0.3*BJ338^0.4/V338^0.325</f>
        <v>1.021599071350734</v>
      </c>
      <c r="BY338" s="29"/>
      <c r="BZ338" s="29"/>
      <c r="CA338" t="s" s="19">
        <v>1956</v>
      </c>
      <c r="CB338" t="s" s="19">
        <v>1957</v>
      </c>
      <c r="CC338" t="s" s="19">
        <v>164</v>
      </c>
      <c r="CD338" t="s" s="19">
        <v>1958</v>
      </c>
      <c r="CE338" s="3"/>
      <c r="CF338" s="3"/>
      <c r="CG338" s="95">
        <f>A338</f>
      </c>
    </row>
    <row r="339" ht="12.75" customHeight="1">
      <c r="A339" s="94"/>
      <c r="B339" t="s" s="93">
        <v>1969</v>
      </c>
      <c r="C339" t="s" s="19">
        <v>361</v>
      </c>
      <c r="D339" t="s" s="19">
        <v>710</v>
      </c>
      <c r="E339" s="3"/>
      <c r="F339" s="3"/>
      <c r="G339" s="3"/>
      <c r="H339" s="32"/>
      <c r="I339" s="32"/>
      <c r="J339" s="36"/>
      <c r="K339" t="s" s="24">
        <v>154</v>
      </c>
      <c r="L339" s="36"/>
      <c r="M339" s="11">
        <v>11</v>
      </c>
      <c r="N339" s="5">
        <v>10.66</v>
      </c>
      <c r="O339" s="11"/>
      <c r="P339" s="11"/>
      <c r="Q339" s="37"/>
      <c r="R339" t="s" s="24">
        <v>161</v>
      </c>
      <c r="S339" s="36"/>
      <c r="T339" s="38">
        <f>IF(S339&gt;0,1.048,IF(R339&gt;0,1.048,IF(Q339&gt;0,1.036,0.907+1.55*(P339/N339)-4.449*(P339/N339)^2)))</f>
        <v>1.048</v>
      </c>
      <c r="U339" s="39">
        <v>2500</v>
      </c>
      <c r="V339" s="40">
        <f>IF(H339="x",75+U339,IF(M339&lt;6.66,150+U339,-1.7384*M339^2+92.38*M339-388+U339))</f>
        <v>2917.8336</v>
      </c>
      <c r="W339" s="5"/>
      <c r="X339" s="5"/>
      <c r="Y339" s="5"/>
      <c r="Z339" s="5"/>
      <c r="AA339" s="5"/>
      <c r="AB339" s="5"/>
      <c r="AC339" s="5"/>
      <c r="AD339" s="33">
        <v>48.8</v>
      </c>
      <c r="AE339" s="5">
        <f>IF(AD339=0,(W339+4*X339+2*Y339+4*Z339+AA339)*AC339/12+W339*AB339/1.5,AD339)</f>
        <v>48.8</v>
      </c>
      <c r="AF339" s="11"/>
      <c r="AG339" s="11"/>
      <c r="AH339" s="5">
        <f>IF(AC339=0,AE339+AF339*AG339/2,AE339+AC339*AG339/2)</f>
        <v>48.8</v>
      </c>
      <c r="AI339" s="3"/>
      <c r="AJ339" s="3"/>
      <c r="AK339" s="33">
        <v>30</v>
      </c>
      <c r="AL339" s="5">
        <f>IF(AK339=0,AI339*AJ339/2,AK339)</f>
        <v>30</v>
      </c>
      <c r="AM339" s="3"/>
      <c r="AN339" s="5"/>
      <c r="AO339" s="5"/>
      <c r="AP339" s="5">
        <f>AL339+AI339*(AN339-AO339)/2</f>
        <v>30</v>
      </c>
      <c r="AQ339" s="5">
        <f>0.1*(AE339+AL339)</f>
        <v>7.88</v>
      </c>
      <c r="AR339" s="11">
        <v>15.37</v>
      </c>
      <c r="AS339" s="11"/>
      <c r="AT339" s="11"/>
      <c r="AU339" s="11"/>
      <c r="AV339" s="33"/>
      <c r="AW339" s="5">
        <f>IF(AV339=0,AS339/6*(AT339+AU339*4),AV339)</f>
        <v>0</v>
      </c>
      <c r="AX339" s="11"/>
      <c r="AY339" s="5">
        <f>IF(AX339&lt;0.149*M339+0.329,1,AX339/(0.149*M339+0.329))</f>
        <v>1</v>
      </c>
      <c r="AZ339" s="5">
        <f>IF(AW339*AY339&gt;AL339,(AW339*AY339-AL339)/4,0)</f>
        <v>0</v>
      </c>
      <c r="BA339" s="12">
        <f>0.401+0.1831*(2*AR339^2/(AH339+AP339+AZ339))-0.02016*(2*AR339^2/(AH339+AP339+AZ339))^2+0.0007472*(2*AR339^2/(AH339+AP339+AZ339))^3</f>
        <v>0.9351445205762908</v>
      </c>
      <c r="BB339" s="3"/>
      <c r="BC339" s="3"/>
      <c r="BD339" s="3"/>
      <c r="BE339" s="3"/>
      <c r="BF339" s="33">
        <v>70</v>
      </c>
      <c r="BG339" s="5">
        <f>IF(BF339=0,(BC339+BD339)*(BB339/12+BE339/3),BF339)</f>
        <v>70</v>
      </c>
      <c r="BH339" s="5">
        <f>IF(BG339*AY339&gt;AL339+AZ339,BG339*AY339-AL339-AZ339,0)</f>
        <v>40</v>
      </c>
      <c r="BI339" s="5">
        <f>IF(M339/1.6&lt;8,ROUND(M339/1.6,0),8)</f>
        <v>7</v>
      </c>
      <c r="BJ339" s="5">
        <f>(AH339+AP339+AZ339)*BA339+0.1*BH339</f>
        <v>77.68938822141172</v>
      </c>
      <c r="BK339" s="11">
        <v>1.9</v>
      </c>
      <c r="BL339" s="5">
        <f>M339*0.2</f>
        <v>2.2</v>
      </c>
      <c r="BM339" s="5">
        <f>ROUNDDOWN(M339/2.13,0)</f>
        <v>5</v>
      </c>
      <c r="BN339" s="12">
        <f>M339/4.26</f>
        <v>2.582159624413146</v>
      </c>
      <c r="BO339" s="5">
        <f>IF(M339&lt;8,1.22,IF(M339&lt;15.2,0.108333*M339+0.353,2))</f>
        <v>1.544663</v>
      </c>
      <c r="BP339" s="12">
        <f>IF(BK339&lt;BO339,1+0.3*(BO339-BK339)/M339,1)</f>
        <v>1</v>
      </c>
      <c r="BQ339" s="32"/>
      <c r="BR339" s="39">
        <v>0</v>
      </c>
      <c r="BS339" t="s" s="24">
        <v>154</v>
      </c>
      <c r="BT339" s="36"/>
      <c r="BU339" s="36"/>
      <c r="BV339" s="5">
        <f>IF(BQ339&lt;(M339/0.3048)^0.5,1,IF(BU339="x",1-BR339*0.02,IF(BT339="x",1-BR339*0.01,1)))</f>
        <v>1</v>
      </c>
      <c r="BW339" s="12">
        <f>IF(K339="x",MIN(1.315,1.28+U339*N339/BJ339/AR339/1100),IF(L339="x",1.28,MAX(1.245,1.28-U339*N339/BJ339/AR339/1100)))</f>
        <v>1.300289388551435</v>
      </c>
      <c r="BX339" s="41">
        <f>BW339*T339*BV339*BP339*N339^0.3*BJ339^0.4/V339^0.325</f>
        <v>1.182302134587724</v>
      </c>
      <c r="BY339" s="29"/>
      <c r="BZ339" s="29"/>
      <c r="CA339" t="s" s="19">
        <v>162</v>
      </c>
      <c r="CB339" t="s" s="19">
        <v>711</v>
      </c>
      <c r="CC339" t="s" s="19">
        <v>164</v>
      </c>
      <c r="CD339" s="3"/>
      <c r="CE339" s="3"/>
      <c r="CF339" s="3"/>
      <c r="CG339" s="95">
        <f>A339</f>
      </c>
    </row>
    <row r="340" ht="12.75" customHeight="1">
      <c r="A340" s="94"/>
      <c r="B340" t="s" s="93">
        <v>1970</v>
      </c>
      <c r="C340" t="s" s="19">
        <v>828</v>
      </c>
      <c r="D340" t="s" s="19">
        <v>828</v>
      </c>
      <c r="E340" s="3"/>
      <c r="F340" s="3"/>
      <c r="G340" s="3"/>
      <c r="H340" s="32"/>
      <c r="I340" s="32"/>
      <c r="J340" s="36"/>
      <c r="K340" t="s" s="24">
        <v>154</v>
      </c>
      <c r="L340" s="36"/>
      <c r="M340" s="11">
        <v>10.68</v>
      </c>
      <c r="N340" s="5">
        <v>10.5</v>
      </c>
      <c r="O340" s="11">
        <v>8.199999999999999</v>
      </c>
      <c r="P340" s="11"/>
      <c r="Q340" s="37"/>
      <c r="R340" t="s" s="24">
        <v>1971</v>
      </c>
      <c r="S340" s="36"/>
      <c r="T340" s="38">
        <f>IF(S340&gt;0,1.048,IF(R340&gt;0,1.048,IF(Q340&gt;0,1.036,0.907+1.55*(P340/N340)-4.449*(P340/N340)^2)))</f>
        <v>1.048</v>
      </c>
      <c r="U340" s="39">
        <v>3900</v>
      </c>
      <c r="V340" s="40">
        <f>IF(H340="x",75+U340,IF(M340&lt;6.66,150+U340,-1.7384*M340^2+92.38*M340-388+U340))</f>
        <v>4300.33232384</v>
      </c>
      <c r="W340" s="5"/>
      <c r="X340" s="5"/>
      <c r="Y340" s="5"/>
      <c r="Z340" s="5"/>
      <c r="AA340" s="5"/>
      <c r="AB340" s="5"/>
      <c r="AC340" s="5"/>
      <c r="AD340" s="33">
        <v>54</v>
      </c>
      <c r="AE340" s="5">
        <f>IF(AD340=0,(W340+4*X340+2*Y340+4*Z340+AA340)*AC340/12+W340*AB340/1.5,AD340)</f>
        <v>54</v>
      </c>
      <c r="AF340" s="11">
        <v>16</v>
      </c>
      <c r="AG340" s="11"/>
      <c r="AH340" s="5">
        <f>IF(AC340=0,AE340+AF340*AG340/2,AE340+AC340*AG340/2)</f>
        <v>54</v>
      </c>
      <c r="AI340" s="3"/>
      <c r="AJ340" s="3"/>
      <c r="AK340" s="33">
        <v>50</v>
      </c>
      <c r="AL340" s="5">
        <f>IF(AK340=0,AI340*AJ340/2,AK340)</f>
        <v>50</v>
      </c>
      <c r="AM340" s="3"/>
      <c r="AN340" s="5"/>
      <c r="AO340" s="5">
        <v>0.1</v>
      </c>
      <c r="AP340" s="5">
        <f>AL340+AI340*(AN340-AO340)/2</f>
        <v>50</v>
      </c>
      <c r="AQ340" s="5">
        <f>0.1*(AE340+AL340)</f>
        <v>10.4</v>
      </c>
      <c r="AR340" s="11">
        <v>17</v>
      </c>
      <c r="AS340" s="11"/>
      <c r="AT340" s="11"/>
      <c r="AU340" s="11"/>
      <c r="AV340" s="33">
        <v>95</v>
      </c>
      <c r="AW340" s="5">
        <f>IF(AV340=0,AS340/6*(AT340+AU340*4),AV340)</f>
        <v>95</v>
      </c>
      <c r="AX340" s="11">
        <v>1.5</v>
      </c>
      <c r="AY340" s="5">
        <f>IF(AX340&lt;0.149*M340+0.329,1,AX340/(0.149*M340+0.329))</f>
        <v>1</v>
      </c>
      <c r="AZ340" s="5">
        <f>IF(AW340*AY340&gt;AL340,(AW340*AY340-AL340)/4,0)</f>
        <v>11.25</v>
      </c>
      <c r="BA340" s="12">
        <f>0.401+0.1831*(2*AR340^2/(AH340+AP340+AZ340))-0.02016*(2*AR340^2/(AH340+AP340+AZ340))^2+0.0007472*(2*AR340^2/(AH340+AP340+AZ340))^3</f>
        <v>0.9064679602860082</v>
      </c>
      <c r="BB340" s="3"/>
      <c r="BC340" s="3"/>
      <c r="BD340" s="3"/>
      <c r="BE340" s="3"/>
      <c r="BF340" s="33"/>
      <c r="BG340" s="5">
        <f>IF(BF340=0,(BC340+BD340)*(BB340/12+BE340/3),BF340)</f>
        <v>0</v>
      </c>
      <c r="BH340" s="5">
        <f>IF(BG340*AY340&gt;AL340+AZ340,BG340*AY340-AL340-AZ340,0)</f>
        <v>0</v>
      </c>
      <c r="BI340" s="5">
        <f>IF(M340/1.6&lt;8,ROUND(M340/1.6,0),8)</f>
        <v>7</v>
      </c>
      <c r="BJ340" s="5">
        <f>(AH340+AP340+AZ340)*BA340+0.1*BH340</f>
        <v>104.4704324229624</v>
      </c>
      <c r="BK340" s="11">
        <v>2</v>
      </c>
      <c r="BL340" s="5">
        <f>M340*0.2</f>
        <v>2.136</v>
      </c>
      <c r="BM340" s="5">
        <f>ROUNDDOWN(M340/2.13,0)</f>
        <v>5</v>
      </c>
      <c r="BN340" s="12">
        <f>M340/4.26</f>
        <v>2.507042253521127</v>
      </c>
      <c r="BO340" s="5">
        <f>IF(M340&lt;8,1.22,IF(M340&lt;15.2,0.108333*M340+0.353,2))</f>
        <v>1.50999644</v>
      </c>
      <c r="BP340" s="12">
        <f>IF(BK340&lt;BO340,1+0.3*(BO340-BK340)/M340,1)</f>
        <v>1</v>
      </c>
      <c r="BQ340" s="39">
        <v>8</v>
      </c>
      <c r="BR340" s="39">
        <v>2</v>
      </c>
      <c r="BS340" s="36"/>
      <c r="BT340" s="36"/>
      <c r="BU340" t="s" s="24">
        <v>154</v>
      </c>
      <c r="BV340" s="5">
        <f>IF(BQ340&lt;(M340/0.3048)^0.5,1,IF(BU340="x",1-BR340*0.02,IF(BT340="x",1-BR340*0.01,1)))</f>
        <v>0.96</v>
      </c>
      <c r="BW340" s="12">
        <f>IF(K340="x",MIN(1.315,1.28+U340*N340/BJ340/AR340/1100),IF(L340="x",1.28,MAX(1.245,1.28-U340*N340/BJ340/AR340/1100)))</f>
        <v>1.300961333474017</v>
      </c>
      <c r="BX340" s="41">
        <f>BW340*T340*BV340*BP340*N340^0.3*BJ340^0.4/V340^0.325</f>
        <v>1.121922596495889</v>
      </c>
      <c r="BY340" s="29"/>
      <c r="BZ340" s="48"/>
      <c r="CA340" t="s" s="19">
        <v>1962</v>
      </c>
      <c r="CB340" t="s" s="19">
        <v>582</v>
      </c>
      <c r="CC340" t="s" s="19">
        <v>1972</v>
      </c>
      <c r="CD340" s="3"/>
      <c r="CE340" s="3"/>
      <c r="CF340" s="3"/>
      <c r="CG340" s="95">
        <f>A340</f>
      </c>
    </row>
    <row r="341" ht="12.75" customHeight="1">
      <c r="A341" s="94"/>
      <c r="B341" t="s" s="96">
        <v>1973</v>
      </c>
      <c r="C341" t="s" s="19">
        <v>828</v>
      </c>
      <c r="D341" t="s" s="19">
        <v>828</v>
      </c>
      <c r="E341" s="3"/>
      <c r="F341" s="3"/>
      <c r="G341" s="3"/>
      <c r="H341" s="32"/>
      <c r="I341" s="32"/>
      <c r="J341" s="36"/>
      <c r="K341" t="s" s="24">
        <v>154</v>
      </c>
      <c r="L341" s="36"/>
      <c r="M341" s="11">
        <v>10.68</v>
      </c>
      <c r="N341" s="5">
        <v>10.5</v>
      </c>
      <c r="O341" s="11">
        <v>8.199999999999999</v>
      </c>
      <c r="P341" s="11"/>
      <c r="Q341" s="37"/>
      <c r="R341" t="s" s="24">
        <v>1971</v>
      </c>
      <c r="S341" s="36"/>
      <c r="T341" s="38">
        <f>IF(S341&gt;0,1.048,IF(R341&gt;0,1.048,IF(Q341&gt;0,1.036,0.907+1.55*(P341/N341)-4.449*(P341/N341)^2)))</f>
        <v>1.048</v>
      </c>
      <c r="U341" s="39">
        <v>3900</v>
      </c>
      <c r="V341" s="40">
        <f>IF(H341="x",75+U341,IF(M341&lt;6.66,150+U341,-1.7384*M341^2+92.38*M341-388+U341))</f>
        <v>4300.33232384</v>
      </c>
      <c r="W341" s="5"/>
      <c r="X341" s="5"/>
      <c r="Y341" s="5"/>
      <c r="Z341" s="5"/>
      <c r="AA341" s="5"/>
      <c r="AB341" s="5"/>
      <c r="AC341" s="5"/>
      <c r="AD341" s="33">
        <v>65</v>
      </c>
      <c r="AE341" s="5">
        <f>IF(AD341=0,(W341+4*X341+2*Y341+4*Z341+AA341)*AC341/12+W341*AB341/1.5,AD341)</f>
        <v>65</v>
      </c>
      <c r="AF341" s="11">
        <v>17.5</v>
      </c>
      <c r="AG341" s="11"/>
      <c r="AH341" s="5">
        <f>IF(AC341=0,AE341+AF341*AG341/2,AE341+AC341*AG341/2)</f>
        <v>65</v>
      </c>
      <c r="AI341" s="3"/>
      <c r="AJ341" s="3"/>
      <c r="AK341" s="33">
        <v>55</v>
      </c>
      <c r="AL341" s="5">
        <f>IF(AK341=0,AI341*AJ341/2,AK341)</f>
        <v>55</v>
      </c>
      <c r="AM341" s="3"/>
      <c r="AN341" s="5"/>
      <c r="AO341" s="5">
        <v>0.1</v>
      </c>
      <c r="AP341" s="5">
        <f>AL341+AI341*(AN341-AO341)/2</f>
        <v>55</v>
      </c>
      <c r="AQ341" s="5">
        <f>0.1*(AE341+AL341)</f>
        <v>12</v>
      </c>
      <c r="AR341" s="11">
        <v>18.5</v>
      </c>
      <c r="AS341" s="11"/>
      <c r="AT341" s="11"/>
      <c r="AU341" s="11"/>
      <c r="AV341" s="33">
        <v>115</v>
      </c>
      <c r="AW341" s="5">
        <f>IF(AV341=0,AS341/6*(AT341+AU341*4),AV341)</f>
        <v>115</v>
      </c>
      <c r="AX341" s="11">
        <v>1.5</v>
      </c>
      <c r="AY341" s="5">
        <f>IF(AX341&lt;0.149*M341+0.329,1,AX341/(0.149*M341+0.329))</f>
        <v>1</v>
      </c>
      <c r="AZ341" s="5">
        <f>IF(AW341*AY341&gt;AL341,(AW341*AY341-AL341)/4,0)</f>
        <v>15</v>
      </c>
      <c r="BA341" s="12">
        <f>0.401+0.1831*(2*AR341^2/(AH341+AP341+AZ341))-0.02016*(2*AR341^2/(AH341+AP341+AZ341))^2+0.0007472*(2*AR341^2/(AH341+AP341+AZ341))^3</f>
        <v>0.9084976338771935</v>
      </c>
      <c r="BB341" s="3"/>
      <c r="BC341" s="3"/>
      <c r="BD341" s="3"/>
      <c r="BE341" s="3"/>
      <c r="BF341" s="33"/>
      <c r="BG341" s="5">
        <f>IF(BF341=0,(BC341+BD341)*(BB341/12+BE341/3),BF341)</f>
        <v>0</v>
      </c>
      <c r="BH341" s="5">
        <f>IF(BG341*AY341&gt;AL341+AZ341,BG341*AY341-AL341-AZ341,0)</f>
        <v>0</v>
      </c>
      <c r="BI341" s="5">
        <f>IF(M341/1.6&lt;8,ROUND(M341/1.6,0),8)</f>
        <v>7</v>
      </c>
      <c r="BJ341" s="5">
        <f>(AH341+AP341+AZ341)*BA341+0.1*BH341</f>
        <v>122.6471805734211</v>
      </c>
      <c r="BK341" s="11">
        <v>2</v>
      </c>
      <c r="BL341" s="5">
        <f>M341*0.2</f>
        <v>2.136</v>
      </c>
      <c r="BM341" s="5">
        <f>ROUNDDOWN(M341/2.13,0)</f>
        <v>5</v>
      </c>
      <c r="BN341" s="12">
        <f>M341/4.26</f>
        <v>2.507042253521127</v>
      </c>
      <c r="BO341" s="5">
        <f>IF(M341&lt;8,1.22,IF(M341&lt;15.2,0.108333*M341+0.353,2))</f>
        <v>1.50999644</v>
      </c>
      <c r="BP341" s="12">
        <f>IF(BK341&lt;BO341,1+0.3*(BO341-BK341)/M341,1)</f>
        <v>1</v>
      </c>
      <c r="BQ341" s="39">
        <v>8</v>
      </c>
      <c r="BR341" s="39">
        <v>2</v>
      </c>
      <c r="BS341" s="36"/>
      <c r="BT341" s="36"/>
      <c r="BU341" t="s" s="24">
        <v>154</v>
      </c>
      <c r="BV341" s="5">
        <f>IF(BQ341&lt;(M341/0.3048)^0.5,1,IF(BU341="x",1-BR341*0.02,IF(BT341="x",1-BR341*0.01,1)))</f>
        <v>0.96</v>
      </c>
      <c r="BW341" s="12">
        <f>IF(K341="x",MIN(1.315,1.28+U341*N341/BJ341/AR341/1100),IF(L341="x",1.28,MAX(1.245,1.28-U341*N341/BJ341/AR341/1100)))</f>
        <v>1.296407103717157</v>
      </c>
      <c r="BX341" s="41">
        <f>BW341*T341*BV341*BP341*N341^0.3*BJ341^0.4/V341^0.325</f>
        <v>1.192080486909665</v>
      </c>
      <c r="BY341" s="29"/>
      <c r="BZ341" s="48"/>
      <c r="CA341" t="s" s="19">
        <v>1962</v>
      </c>
      <c r="CB341" t="s" s="19">
        <v>582</v>
      </c>
      <c r="CC341" t="s" s="19">
        <v>1972</v>
      </c>
      <c r="CD341" s="3"/>
      <c r="CE341" s="3"/>
      <c r="CF341" s="3"/>
      <c r="CG341" s="95">
        <f>A341</f>
      </c>
    </row>
    <row r="342" ht="12.75" customHeight="1">
      <c r="A342" s="94"/>
      <c r="B342" t="s" s="97">
        <v>1940</v>
      </c>
      <c r="C342" t="s" s="93">
        <v>950</v>
      </c>
      <c r="D342" t="s" s="19">
        <v>204</v>
      </c>
      <c r="E342" s="3"/>
      <c r="F342" s="3"/>
      <c r="G342" s="3"/>
      <c r="H342" s="32"/>
      <c r="I342" s="32"/>
      <c r="J342" t="s" s="24">
        <v>154</v>
      </c>
      <c r="K342" s="36"/>
      <c r="L342" s="36"/>
      <c r="M342" s="11">
        <v>9.960000000000001</v>
      </c>
      <c r="N342" s="5">
        <v>9.958</v>
      </c>
      <c r="O342" s="11">
        <v>6.24</v>
      </c>
      <c r="P342" s="11">
        <v>0.78</v>
      </c>
      <c r="Q342" s="37"/>
      <c r="R342" s="36"/>
      <c r="S342" s="36"/>
      <c r="T342" s="38">
        <f>IF(S342&gt;0,1.048,IF(R342&gt;0,1.048,IF(Q342&gt;0,1.036,0.907+1.55*(P342/N342)-4.449*(P342/N342)^2)))</f>
        <v>1.001113396369189</v>
      </c>
      <c r="U342" s="39">
        <v>2934</v>
      </c>
      <c r="V342" s="40">
        <f>IF(H342="x",75+U342,IF(M342&lt;6.66,150+U342,-1.7384*M342^2+92.38*M342-388+U342))</f>
        <v>3293.65273856</v>
      </c>
      <c r="W342" s="5"/>
      <c r="X342" s="5"/>
      <c r="Y342" s="5"/>
      <c r="Z342" s="5"/>
      <c r="AA342" s="5"/>
      <c r="AB342" s="5"/>
      <c r="AC342" s="5">
        <v>12.46</v>
      </c>
      <c r="AD342" s="33">
        <v>42.78</v>
      </c>
      <c r="AE342" s="5">
        <f>IF(AD342=0,(W342+4*X342+2*Y342+4*Z342+AA342)*AC342/12+W342*AB342/1.5,AD342)</f>
        <v>42.78</v>
      </c>
      <c r="AF342" s="11">
        <v>13.8</v>
      </c>
      <c r="AG342" s="11"/>
      <c r="AH342" s="5">
        <f>IF(AC342=0,AE342+AF342*AG342/2,AE342+AC342*AG342/2)</f>
        <v>42.78</v>
      </c>
      <c r="AI342" s="5">
        <v>12</v>
      </c>
      <c r="AJ342" s="3"/>
      <c r="AK342" s="33">
        <v>16</v>
      </c>
      <c r="AL342" s="5">
        <f>IF(AK342=0,AI342*AJ342/2,AK342)</f>
        <v>16</v>
      </c>
      <c r="AM342" t="s" s="19">
        <v>154</v>
      </c>
      <c r="AN342" s="5"/>
      <c r="AO342" s="5"/>
      <c r="AP342" s="5">
        <f>AL342+AI342*(AN342-AO342)/2</f>
        <v>16</v>
      </c>
      <c r="AQ342" s="5">
        <f>0.1*(AE342+AL342)</f>
        <v>5.878</v>
      </c>
      <c r="AR342" s="11">
        <v>14.1705</v>
      </c>
      <c r="AS342" s="11"/>
      <c r="AT342" s="11"/>
      <c r="AU342" s="11"/>
      <c r="AV342" s="33">
        <v>45</v>
      </c>
      <c r="AW342" s="5">
        <f>IF(AV342=0,AS342/6*(AT342+AU342*4),AV342)</f>
        <v>45</v>
      </c>
      <c r="AX342" s="11">
        <v>0.52</v>
      </c>
      <c r="AY342" s="5">
        <f>IF(AX342&lt;0.149*M342+0.329,1,AX342/(0.149*M342+0.329))</f>
        <v>1</v>
      </c>
      <c r="AZ342" s="5">
        <f>IF(AW342*AY342&gt;AL342,(AW342*AY342-AL342)/4,0)</f>
        <v>7.25</v>
      </c>
      <c r="BA342" s="12">
        <f>0.401+0.1831*(2*AR342^2/(AH342+AP342+AZ342))-0.02016*(2*AR342^2/(AH342+AP342+AZ342))^2+0.0007472*(2*AR342^2/(AH342+AP342+AZ342))^3</f>
        <v>0.9369881323174861</v>
      </c>
      <c r="BB342" s="3"/>
      <c r="BC342" s="3"/>
      <c r="BD342" s="3"/>
      <c r="BE342" s="3"/>
      <c r="BF342" s="33">
        <v>65</v>
      </c>
      <c r="BG342" s="5">
        <f>IF(BF342=0,(BC342+BD342)*(BB342/12+BE342/3),BF342)</f>
        <v>65</v>
      </c>
      <c r="BH342" s="5">
        <f>IF(BG342*AY342&gt;AL342+AZ342,BG342*AY342-AL342-AZ342,0)</f>
        <v>41.75</v>
      </c>
      <c r="BI342" s="5">
        <f>IF(M342/1.6&lt;8,ROUND(M342/1.6,0),8)</f>
        <v>6</v>
      </c>
      <c r="BJ342" s="5">
        <f>(AH342+AP342+AZ342)*BA342+0.1*BH342</f>
        <v>66.04432637692361</v>
      </c>
      <c r="BK342" s="11">
        <v>1.67</v>
      </c>
      <c r="BL342" s="5">
        <f>M342*0.2</f>
        <v>1.992</v>
      </c>
      <c r="BM342" s="5">
        <f>ROUNDDOWN(M342/2.13,0)</f>
        <v>4</v>
      </c>
      <c r="BN342" s="12">
        <f>M342/4.26</f>
        <v>2.338028169014085</v>
      </c>
      <c r="BO342" s="5">
        <f>IF(M342&lt;8,1.22,IF(M342&lt;15.2,0.108333*M342+0.353,2))</f>
        <v>1.43199668</v>
      </c>
      <c r="BP342" s="12">
        <f>IF(BK342&lt;BO342,1+0.3*(BO342-BK342)/M342,1)</f>
        <v>1</v>
      </c>
      <c r="BQ342" s="39">
        <v>6.5</v>
      </c>
      <c r="BR342" s="39">
        <v>1</v>
      </c>
      <c r="BS342" t="s" s="24">
        <v>154</v>
      </c>
      <c r="BT342" s="36"/>
      <c r="BU342" s="36"/>
      <c r="BV342" s="5">
        <f>IF(BQ342&lt;(M342/0.3048)^0.5,1,IF(BU342="x",1-BR342*0.02,IF(BT342="x",1-BR342*0.01,1)))</f>
        <v>1</v>
      </c>
      <c r="BW342" s="12">
        <f>IF(K342="x",MIN(1.315,1.28+U342*N342/BJ342/AR342/1100),IF(L342="x",1.28,MAX(1.245,1.28-U342*N342/BJ342/AR342/1100)))</f>
        <v>1.251619577471901</v>
      </c>
      <c r="BX342" s="41">
        <f>BW342*T342*BV342*BP342*N342^0.3*BJ342^0.4/V342^0.325</f>
        <v>0.9596131164596732</v>
      </c>
      <c r="BY342" s="29"/>
      <c r="BZ342" s="29"/>
      <c r="CA342" s="3"/>
      <c r="CB342" s="3"/>
      <c r="CC342" s="3"/>
      <c r="CD342" s="3"/>
      <c r="CE342" s="3"/>
      <c r="CF342" s="3"/>
      <c r="CG342" s="95">
        <f>A342</f>
      </c>
    </row>
    <row r="343" ht="12.75" customHeight="1">
      <c r="A343" s="94"/>
      <c r="B343" t="s" s="98">
        <v>1974</v>
      </c>
      <c r="C343" t="s" s="19">
        <v>203</v>
      </c>
      <c r="D343" t="s" s="19">
        <v>204</v>
      </c>
      <c r="E343" s="3"/>
      <c r="F343" s="3"/>
      <c r="G343" s="3"/>
      <c r="H343" s="32"/>
      <c r="I343" s="32"/>
      <c r="J343" t="s" s="24">
        <v>154</v>
      </c>
      <c r="K343" s="36"/>
      <c r="L343" s="36"/>
      <c r="M343" s="11">
        <v>10.6</v>
      </c>
      <c r="N343" s="5">
        <v>10.6</v>
      </c>
      <c r="O343" s="11">
        <v>6.03</v>
      </c>
      <c r="P343" s="11">
        <v>0.85</v>
      </c>
      <c r="Q343" s="37"/>
      <c r="R343" s="36"/>
      <c r="S343" s="36"/>
      <c r="T343" s="38">
        <f>IF(S343&gt;0,1.048,IF(R343&gt;0,1.048,IF(Q343&gt;0,1.036,0.907+1.55*(P343/N343)-4.449*(P343/N343)^2)))</f>
        <v>1.00268438501246</v>
      </c>
      <c r="U343" s="39">
        <v>3000</v>
      </c>
      <c r="V343" s="40">
        <f>IF(H343="x",75+U343,IF(M343&lt;6.66,150+U343,-1.7384*M343^2+92.38*M343-388+U343))</f>
        <v>3395.901376</v>
      </c>
      <c r="W343" s="5"/>
      <c r="X343" s="5"/>
      <c r="Y343" s="5"/>
      <c r="Z343" s="5"/>
      <c r="AA343" s="5"/>
      <c r="AB343" s="5"/>
      <c r="AC343" s="5">
        <v>11</v>
      </c>
      <c r="AD343" s="33">
        <v>41.5</v>
      </c>
      <c r="AE343" s="5">
        <f>IF(AD343=0,(W343+4*X343+2*Y343+4*Z343+AA343)*AC343/12+W343*AB343/1.5,AD343)</f>
        <v>41.5</v>
      </c>
      <c r="AF343" s="11"/>
      <c r="AG343" s="11"/>
      <c r="AH343" s="5">
        <f>IF(AC343=0,AE343+AF343*AG343/2,AE343+AC343*AG343/2)</f>
        <v>41.5</v>
      </c>
      <c r="AI343" s="3"/>
      <c r="AJ343" s="3"/>
      <c r="AK343" s="33">
        <v>25.5</v>
      </c>
      <c r="AL343" s="5">
        <f>IF(AK343=0,AI343*AJ343/2,AK343)</f>
        <v>25.5</v>
      </c>
      <c r="AM343" s="3"/>
      <c r="AN343" s="5"/>
      <c r="AO343" s="5"/>
      <c r="AP343" s="5">
        <f>AL343+AI343*(AN343-AO343)/2</f>
        <v>25.5</v>
      </c>
      <c r="AQ343" s="5">
        <f>0.1*(AE343+AL343)</f>
        <v>6.7</v>
      </c>
      <c r="AR343" s="11">
        <v>13.5</v>
      </c>
      <c r="AS343" s="11"/>
      <c r="AT343" s="11"/>
      <c r="AU343" s="11"/>
      <c r="AV343" s="33"/>
      <c r="AW343" s="5">
        <f>IF(AV343=0,AS343/6*(AT343+AU343*4),AV343)</f>
        <v>0</v>
      </c>
      <c r="AX343" s="11">
        <v>0</v>
      </c>
      <c r="AY343" s="5">
        <f>IF(AX343&lt;0.149*M343+0.329,1,AX343/(0.149*M343+0.329))</f>
        <v>1</v>
      </c>
      <c r="AZ343" s="5">
        <f>IF(AW343*AY343&gt;AL343,(AW343*AY343-AL343)/4,0)</f>
        <v>0</v>
      </c>
      <c r="BA343" s="12">
        <f>0.401+0.1831*(2*AR343^2/(AH343+AP343+AZ343))-0.02016*(2*AR343^2/(AH343+AP343+AZ343))^2+0.0007472*(2*AR343^2/(AH343+AP343+AZ343))^3</f>
        <v>0.920757125519429</v>
      </c>
      <c r="BB343" s="3"/>
      <c r="BC343" s="3"/>
      <c r="BD343" s="3"/>
      <c r="BE343" s="3"/>
      <c r="BF343" s="33">
        <v>75</v>
      </c>
      <c r="BG343" s="5">
        <f>IF(BF343=0,(BC343+BD343)*(BB343/12+BE343/3),BF343)</f>
        <v>75</v>
      </c>
      <c r="BH343" s="5">
        <f>IF(BG343*AY343&gt;AL343+AZ343,BG343*AY343-AL343-AZ343,0)</f>
        <v>49.5</v>
      </c>
      <c r="BI343" s="5">
        <f>IF(M343/1.6&lt;8,ROUND(M343/1.6,0),8)</f>
        <v>7</v>
      </c>
      <c r="BJ343" s="5">
        <f>(AH343+AP343+AZ343)*BA343+0.1*BH343</f>
        <v>66.64072740980174</v>
      </c>
      <c r="BK343" s="11">
        <v>1.8</v>
      </c>
      <c r="BL343" s="5">
        <f>M343*0.2</f>
        <v>2.12</v>
      </c>
      <c r="BM343" s="5">
        <f>ROUNDDOWN(M343/2.13,0)</f>
        <v>4</v>
      </c>
      <c r="BN343" s="12">
        <f>M343/4.26</f>
        <v>2.488262910798122</v>
      </c>
      <c r="BO343" s="5">
        <f>IF(M343&lt;8,1.22,IF(M343&lt;15.2,0.108333*M343+0.353,2))</f>
        <v>1.5013298</v>
      </c>
      <c r="BP343" s="12">
        <f>IF(BK343&lt;BO343,1+0.3*(BO343-BK343)/M343,1)</f>
        <v>1</v>
      </c>
      <c r="BQ343" s="32"/>
      <c r="BR343" s="39">
        <v>0</v>
      </c>
      <c r="BS343" t="s" s="24">
        <v>154</v>
      </c>
      <c r="BT343" s="36"/>
      <c r="BU343" s="36"/>
      <c r="BV343" s="5">
        <f>IF(BQ343&lt;(M343/0.3048)^0.5,1,IF(BU343="x",1-BR343*0.02,IF(BT343="x",1-BR343*0.01,1)))</f>
        <v>1</v>
      </c>
      <c r="BW343" s="12">
        <f>IF(K343="x",MIN(1.315,1.28+U343*N343/BJ343/AR343/1100),IF(L343="x",1.28,MAX(1.245,1.28-U343*N343/BJ343/AR343/1100)))</f>
        <v>1.24786628500848</v>
      </c>
      <c r="BX343" s="41">
        <f>BW343*T343*BV343*BP343*N343^0.3*BJ343^0.4/V343^0.325</f>
        <v>0.9701961713281561</v>
      </c>
      <c r="BY343" s="29"/>
      <c r="BZ343" s="29"/>
      <c r="CA343" t="s" s="19">
        <v>1955</v>
      </c>
      <c r="CB343" s="42">
        <v>1995</v>
      </c>
      <c r="CC343" t="s" s="19">
        <v>164</v>
      </c>
      <c r="CD343" s="3"/>
      <c r="CE343" s="3"/>
      <c r="CF343" s="3"/>
      <c r="CG343" s="95">
        <f>A343</f>
      </c>
    </row>
    <row r="344" ht="12.75" customHeight="1">
      <c r="A344" s="94"/>
      <c r="B344" t="s" s="97">
        <v>1975</v>
      </c>
      <c r="C344" t="s" s="93">
        <v>1976</v>
      </c>
      <c r="D344" t="s" s="19">
        <v>204</v>
      </c>
      <c r="E344" s="3"/>
      <c r="F344" s="4"/>
      <c r="G344" s="4"/>
      <c r="H344" s="3"/>
      <c r="I344" s="3"/>
      <c r="J344" t="s" s="22">
        <v>154</v>
      </c>
      <c r="K344" s="71"/>
      <c r="L344" s="71"/>
      <c r="M344" s="11">
        <v>11.78</v>
      </c>
      <c r="N344" s="15">
        <v>11.78</v>
      </c>
      <c r="O344" s="11">
        <v>6.5</v>
      </c>
      <c r="P344" s="11">
        <v>0.98</v>
      </c>
      <c r="Q344" s="72"/>
      <c r="R344" s="71"/>
      <c r="S344" s="71"/>
      <c r="T344" s="38">
        <f>IF(S344&gt;0,1.048,IF(R344&gt;0,1.048,IF(Q344&gt;0,1.036,0.907+1.55*(P344/N344)-4.449*(P344/N344)^2)))</f>
        <v>1.005156355481508</v>
      </c>
      <c r="U344" s="39">
        <v>4400</v>
      </c>
      <c r="V344" s="45">
        <f>IF(H344="x",75+U344,IF(M344&lt;6.66,150+U344,-1.7384*M344^2+92.38*M344-388+U344))</f>
        <v>4859.00141344</v>
      </c>
      <c r="W344" s="9"/>
      <c r="X344" s="9"/>
      <c r="Y344" s="9"/>
      <c r="Z344" s="9"/>
      <c r="AA344" s="9"/>
      <c r="AB344" s="9"/>
      <c r="AC344" s="9"/>
      <c r="AD344" s="73">
        <v>54</v>
      </c>
      <c r="AE344" s="5">
        <f>IF(AD344=0,(W344+4*X344+2*Y344+4*Z344+AA344)*AC344/12+W344*AB344/1.5,AD344)</f>
        <v>54</v>
      </c>
      <c r="AF344" s="5"/>
      <c r="AG344" s="5"/>
      <c r="AH344" s="5">
        <f>IF(AC344=0,AE344+AF344*AG344/2,AE344+AC344*AG344/2)</f>
        <v>54</v>
      </c>
      <c r="AI344" s="9"/>
      <c r="AJ344" s="9"/>
      <c r="AK344" s="73">
        <v>21</v>
      </c>
      <c r="AL344" s="5">
        <f>IF(AK344=0,AI344*AJ344/2,AK344)</f>
        <v>21</v>
      </c>
      <c r="AM344" s="32"/>
      <c r="AN344" s="11"/>
      <c r="AO344" s="11"/>
      <c r="AP344" s="5">
        <f>AL344+AI344*(AN344-AO344)/2</f>
        <v>21</v>
      </c>
      <c r="AQ344" s="5">
        <f>0.1*(AE344+AL344)</f>
        <v>7.5</v>
      </c>
      <c r="AR344" s="11">
        <v>15.75</v>
      </c>
      <c r="AS344" s="11"/>
      <c r="AT344" s="11"/>
      <c r="AU344" s="11"/>
      <c r="AV344" s="99">
        <v>73</v>
      </c>
      <c r="AW344" s="5">
        <f>IF(AV344=0,AS344/6*(AT344+AU344*4),AV344)</f>
        <v>73</v>
      </c>
      <c r="AX344" s="5">
        <v>0</v>
      </c>
      <c r="AY344" s="5">
        <f>IF(AX344&lt;0.149*M344+0.329,1,AX344/(0.149*M344+0.329))</f>
        <v>1</v>
      </c>
      <c r="AZ344" s="5">
        <f>IF(AW344*AY344&gt;AL344,(AW344*AY344-AL344)/4,0)</f>
        <v>13</v>
      </c>
      <c r="BA344" s="12">
        <f>0.401+0.1831*(2*AR344^2/(AH344+AP344+AZ344))-0.02016*(2*AR344^2/(AH344+AP344+AZ344))^2+0.0007472*(2*AR344^2/(AH344+AP344+AZ344))^3</f>
        <v>0.9263948692187786</v>
      </c>
      <c r="BB344" s="9"/>
      <c r="BC344" s="9"/>
      <c r="BD344" s="9"/>
      <c r="BE344" s="9"/>
      <c r="BF344" s="73"/>
      <c r="BG344" s="5">
        <f>IF(BF344=0,(BC344+BD344)*(BB344/12+BE344/3),BF344)</f>
        <v>0</v>
      </c>
      <c r="BH344" s="5">
        <f>IF(BG344*AY344&gt;AL344+AZ344,BG344*AY344-AL344-AZ344,0)</f>
        <v>0</v>
      </c>
      <c r="BI344" s="5">
        <f>IF(M344/1.6&lt;8,ROUND(M344/1.6,0),8)</f>
        <v>7</v>
      </c>
      <c r="BJ344" s="15">
        <f>(AH344+AP344+AZ344)*BA344+0.1*BH344</f>
        <v>81.52274849125251</v>
      </c>
      <c r="BK344" s="11">
        <v>2</v>
      </c>
      <c r="BL344" s="5">
        <f>M344*0.2</f>
        <v>2.356</v>
      </c>
      <c r="BM344" s="5">
        <f>ROUNDDOWN(M344/2.13,0)</f>
        <v>5</v>
      </c>
      <c r="BN344" s="12">
        <f>M344/4.26</f>
        <v>2.765258215962441</v>
      </c>
      <c r="BO344" s="5">
        <f>IF(M344&lt;8,1.22,IF(M344&lt;15.2,0.108333*M344+0.353,2))</f>
        <v>1.62916274</v>
      </c>
      <c r="BP344" s="7">
        <f>IF(BK344&lt;BO344,1+0.3*(BO344-BK344)/M344,1)</f>
        <v>1</v>
      </c>
      <c r="BQ344" s="39">
        <v>7.5</v>
      </c>
      <c r="BR344" s="39">
        <v>2</v>
      </c>
      <c r="BS344" s="71"/>
      <c r="BT344" s="71"/>
      <c r="BU344" t="s" s="22">
        <v>154</v>
      </c>
      <c r="BV344" s="15">
        <f>IF(BQ344&lt;(M344/0.3048)^0.5,1,IF(BU344="x",1-BR344*0.02,IF(BT344="x",1-BR344*0.01,1)))</f>
        <v>0.96</v>
      </c>
      <c r="BW344" s="7">
        <f>IF(K344="x",MIN(1.315,1.28+U344*N344/BJ344/AR344/1100),IF(L344="x",1.28,MAX(1.245,1.28-U344*N344/BJ344/AR344/1100)))</f>
        <v>1.245</v>
      </c>
      <c r="BX344" s="41">
        <f>BW344*T344*BV344*BP344*N344^0.3*BJ344^0.4/V344^0.325</f>
        <v>0.9276871407988045</v>
      </c>
      <c r="BY344" s="8"/>
      <c r="BZ344" s="8"/>
      <c r="CA344" t="s" s="31">
        <v>1956</v>
      </c>
      <c r="CB344" t="s" s="31">
        <v>1957</v>
      </c>
      <c r="CC344" t="s" s="19">
        <v>164</v>
      </c>
      <c r="CD344" t="s" s="19">
        <v>1958</v>
      </c>
      <c r="CE344" s="3"/>
      <c r="CF344" s="3"/>
      <c r="CG344" s="95">
        <f>A344</f>
      </c>
    </row>
    <row r="345" ht="12.75" customHeight="1">
      <c r="A345" s="94"/>
      <c r="B345" t="s" s="97">
        <v>1977</v>
      </c>
      <c r="C345" t="s" s="93">
        <v>1976</v>
      </c>
      <c r="D345" t="s" s="19">
        <v>204</v>
      </c>
      <c r="E345" s="3"/>
      <c r="F345" s="4"/>
      <c r="G345" s="4"/>
      <c r="H345" s="3"/>
      <c r="I345" s="3"/>
      <c r="J345" t="s" s="22">
        <v>154</v>
      </c>
      <c r="K345" s="71"/>
      <c r="L345" s="71"/>
      <c r="M345" s="11">
        <v>12.68</v>
      </c>
      <c r="N345" s="15">
        <v>12.68</v>
      </c>
      <c r="O345" s="11">
        <v>6.65</v>
      </c>
      <c r="P345" s="11"/>
      <c r="Q345" s="72"/>
      <c r="R345" t="s" s="22">
        <v>1978</v>
      </c>
      <c r="S345" s="71"/>
      <c r="T345" s="38">
        <f>IF(S345&gt;0,1.048,IF(R345&gt;0,1.048,IF(Q345&gt;0,1.036,0.907+1.55*(P345/N345)-4.449*(P345/N345)^2)))</f>
        <v>1.048</v>
      </c>
      <c r="U345" s="39">
        <v>8500</v>
      </c>
      <c r="V345" s="45">
        <f>IF(H345="x",75+U345,IF(M345&lt;6.66,150+U345,-1.7384*M345^2+92.38*M345-388+U345))</f>
        <v>9003.87427584</v>
      </c>
      <c r="W345" s="9"/>
      <c r="X345" s="9"/>
      <c r="Y345" s="9"/>
      <c r="Z345" s="9"/>
      <c r="AA345" s="9"/>
      <c r="AB345" s="9"/>
      <c r="AC345" s="9"/>
      <c r="AD345" s="73">
        <v>64</v>
      </c>
      <c r="AE345" s="5">
        <f>IF(AD345=0,(W345+4*X345+2*Y345+4*Z345+AA345)*AC345/12+W345*AB345/1.5,AD345)</f>
        <v>64</v>
      </c>
      <c r="AF345" s="5"/>
      <c r="AG345" s="5"/>
      <c r="AH345" s="5">
        <f>IF(AC345=0,AE345+AF345*AG345/2,AE345+AC345*AG345/2)</f>
        <v>64</v>
      </c>
      <c r="AI345" s="9"/>
      <c r="AJ345" s="9"/>
      <c r="AK345" s="73">
        <v>21.7</v>
      </c>
      <c r="AL345" s="5">
        <f>IF(AK345=0,AI345*AJ345/2,AK345)</f>
        <v>21.7</v>
      </c>
      <c r="AM345" s="32"/>
      <c r="AN345" s="11"/>
      <c r="AO345" s="11"/>
      <c r="AP345" s="5">
        <f>AL345+AI345*(AN345-AO345)/2</f>
        <v>21.7</v>
      </c>
      <c r="AQ345" s="5">
        <f>0.1*(AE345+AL345)</f>
        <v>8.57</v>
      </c>
      <c r="AR345" s="11">
        <v>17.62</v>
      </c>
      <c r="AS345" s="11"/>
      <c r="AT345" s="11"/>
      <c r="AU345" s="11"/>
      <c r="AV345" s="99">
        <v>90</v>
      </c>
      <c r="AW345" s="5">
        <f>IF(AV345=0,AS345/6*(AT345+AU345*4),AV345)</f>
        <v>90</v>
      </c>
      <c r="AX345" s="5">
        <v>0</v>
      </c>
      <c r="AY345" s="5">
        <f>IF(AX345&lt;0.149*M345+0.329,1,AX345/(0.149*M345+0.329))</f>
        <v>1</v>
      </c>
      <c r="AZ345" s="5">
        <f>IF(AW345*AY345&gt;AL345,(AW345*AY345-AL345)/4,0)</f>
        <v>17.075</v>
      </c>
      <c r="BA345" s="12">
        <f>0.401+0.1831*(2*AR345^2/(AH345+AP345+AZ345))-0.02016*(2*AR345^2/(AH345+AP345+AZ345))^2+0.0007472*(2*AR345^2/(AH345+AP345+AZ345))^3</f>
        <v>0.9361344463087383</v>
      </c>
      <c r="BB345" s="9"/>
      <c r="BC345" s="9"/>
      <c r="BD345" s="9"/>
      <c r="BE345" s="9"/>
      <c r="BF345" s="73"/>
      <c r="BG345" s="5">
        <f>IF(BF345=0,(BC345+BD345)*(BB345/12+BE345/3),BF345)</f>
        <v>0</v>
      </c>
      <c r="BH345" s="5">
        <f>IF(BG345*AY345&gt;AL345+AZ345,BG345*AY345-AL345-AZ345,0)</f>
        <v>0</v>
      </c>
      <c r="BI345" s="5">
        <f>IF(M345/1.6&lt;8,ROUND(M345/1.6,0),8)</f>
        <v>8</v>
      </c>
      <c r="BJ345" s="15">
        <f>(AH345+AP345+AZ345)*BA345+0.1*BH345</f>
        <v>96.21121771938058</v>
      </c>
      <c r="BK345" s="11">
        <v>2</v>
      </c>
      <c r="BL345" s="5">
        <f>M345*0.2</f>
        <v>2.536</v>
      </c>
      <c r="BM345" s="5">
        <f>ROUNDDOWN(M345/2.13,0)</f>
        <v>5</v>
      </c>
      <c r="BN345" s="12">
        <f>M345/4.26</f>
        <v>2.976525821596244</v>
      </c>
      <c r="BO345" s="5">
        <f>IF(M345&lt;8,1.22,IF(M345&lt;15.2,0.108333*M345+0.353,2))</f>
        <v>1.72666244</v>
      </c>
      <c r="BP345" s="7">
        <f>IF(BK345&lt;BO345,1+0.3*(BO345-BK345)/M345,1)</f>
        <v>1</v>
      </c>
      <c r="BQ345" s="39">
        <v>7.5</v>
      </c>
      <c r="BR345" s="39">
        <v>2</v>
      </c>
      <c r="BS345" s="71"/>
      <c r="BT345" s="71"/>
      <c r="BU345" t="s" s="22">
        <v>154</v>
      </c>
      <c r="BV345" s="15">
        <f>IF(BQ345&lt;(M345/0.3048)^0.5,1,IF(BU345="x",1-BR345*0.02,IF(BT345="x",1-BR345*0.01,1)))</f>
        <v>0.96</v>
      </c>
      <c r="BW345" s="7">
        <f>IF(K345="x",MIN(1.315,1.28+U345*N345/BJ345/AR345/1100),IF(L345="x",1.28,MAX(1.245,1.28-U345*N345/BJ345/AR345/1100)))</f>
        <v>1.245</v>
      </c>
      <c r="BX345" s="41">
        <f>BW345*T345*BV345*BP345*N345^0.3*BJ345^0.4/V345^0.325</f>
        <v>0.8646460574441878</v>
      </c>
      <c r="BY345" s="8"/>
      <c r="BZ345" s="8"/>
      <c r="CA345" t="s" s="31">
        <v>1956</v>
      </c>
      <c r="CB345" t="s" s="31">
        <v>1957</v>
      </c>
      <c r="CC345" t="s" s="19">
        <v>164</v>
      </c>
      <c r="CD345" t="s" s="19">
        <v>1958</v>
      </c>
      <c r="CE345" s="3"/>
      <c r="CF345" s="3"/>
      <c r="CG345" s="95">
        <f>A345</f>
      </c>
    </row>
    <row r="346" ht="12.75" customHeight="1">
      <c r="A346" s="94"/>
      <c r="B346" t="s" s="100">
        <v>1979</v>
      </c>
      <c r="C346" t="s" s="19">
        <v>1980</v>
      </c>
      <c r="D346" s="3"/>
      <c r="E346" s="3"/>
      <c r="F346" s="3"/>
      <c r="G346" s="3"/>
      <c r="H346" s="32"/>
      <c r="I346" s="32"/>
      <c r="J346" t="s" s="24">
        <v>154</v>
      </c>
      <c r="K346" s="36"/>
      <c r="L346" s="36"/>
      <c r="M346" s="11">
        <v>6.6</v>
      </c>
      <c r="N346" s="5">
        <v>6.45</v>
      </c>
      <c r="O346" s="11"/>
      <c r="P346" s="11"/>
      <c r="Q346" s="37"/>
      <c r="R346" t="s" s="24">
        <v>161</v>
      </c>
      <c r="S346" s="36"/>
      <c r="T346" s="38">
        <f>IF(S346&gt;0,1.048,IF(R346&gt;0,1.048,IF(Q346&gt;0,1.036,0.907+1.55*(P346/N346)-4.449*(P346/N346)^2)))</f>
        <v>1.048</v>
      </c>
      <c r="U346" s="39">
        <v>580</v>
      </c>
      <c r="V346" s="40">
        <f>IF(H346="x",75+U346,IF(M346&lt;6.66,150+U346,-1.7384*M346^2+92.38*M346-388+U346))</f>
        <v>730</v>
      </c>
      <c r="W346" s="5"/>
      <c r="X346" s="5"/>
      <c r="Y346" s="5"/>
      <c r="Z346" s="5"/>
      <c r="AA346" s="5"/>
      <c r="AB346" s="5"/>
      <c r="AC346" s="5">
        <v>8</v>
      </c>
      <c r="AD346" s="33">
        <v>14.5</v>
      </c>
      <c r="AE346" s="5">
        <f>IF(AD346=0,(W346+4*X346+2*Y346+4*Z346+AA346)*AC346/12+W346*AB346/1.5,AD346)</f>
        <v>14.5</v>
      </c>
      <c r="AF346" s="11"/>
      <c r="AG346" s="11"/>
      <c r="AH346" s="5">
        <f>IF(AC346=0,AE346+AF346*AG346/2,AE346+AC346*AG346/2)</f>
        <v>14.5</v>
      </c>
      <c r="AI346" s="3"/>
      <c r="AJ346" s="3"/>
      <c r="AK346" s="33">
        <v>9</v>
      </c>
      <c r="AL346" s="5">
        <f>IF(AK346=0,AI346*AJ346/2,AK346)</f>
        <v>9</v>
      </c>
      <c r="AM346" s="3"/>
      <c r="AN346" s="5"/>
      <c r="AO346" s="5"/>
      <c r="AP346" s="5">
        <f>AL346+AI346*(AN346-AO346)/2</f>
        <v>9</v>
      </c>
      <c r="AQ346" s="5">
        <f>0.1*(AE346+AL346)</f>
        <v>2.35</v>
      </c>
      <c r="AR346" s="11">
        <v>8.800000000000001</v>
      </c>
      <c r="AS346" s="11"/>
      <c r="AT346" s="11"/>
      <c r="AU346" s="11"/>
      <c r="AV346" s="33"/>
      <c r="AW346" s="5">
        <f>IF(AV346=0,AS346/6*(AT346+AU346*4),AV346)</f>
        <v>0</v>
      </c>
      <c r="AX346" s="11"/>
      <c r="AY346" s="5">
        <f>IF(AX346&lt;0.149*M346+0.329,1,AX346/(0.149*M346+0.329))</f>
        <v>1</v>
      </c>
      <c r="AZ346" s="5">
        <f>IF(AW346*AY346&gt;AL346,(AW346*AY346-AL346)/4,0)</f>
        <v>0</v>
      </c>
      <c r="BA346" s="12">
        <f>0.401+0.1831*(2*AR346^2/(AH346+AP346+AZ346))-0.02016*(2*AR346^2/(AH346+AP346+AZ346))^2+0.0007472*(2*AR346^2/(AH346+AP346+AZ346))^3</f>
        <v>0.9459699590276559</v>
      </c>
      <c r="BB346" s="3"/>
      <c r="BC346" s="3"/>
      <c r="BD346" s="3"/>
      <c r="BE346" s="3"/>
      <c r="BF346" s="33">
        <v>29.75</v>
      </c>
      <c r="BG346" s="5">
        <f>IF(BF346=0,(BC346+BD346)*(BB346/12+BE346/3),BF346)</f>
        <v>29.75</v>
      </c>
      <c r="BH346" s="5">
        <f>IF(BG346*AY346&gt;AL346+AZ346,BG346*AY346-AL346-AZ346,0)</f>
        <v>20.75</v>
      </c>
      <c r="BI346" s="5">
        <f>IF(M346/1.6&lt;8,ROUND(M346/1.6,0),8)</f>
        <v>4</v>
      </c>
      <c r="BJ346" s="5">
        <f>(AH346+AP346+AZ346)*BA346+0.1*BH346</f>
        <v>24.30529403714991</v>
      </c>
      <c r="BK346" s="11">
        <v>1.22</v>
      </c>
      <c r="BL346" s="5">
        <f>M346*0.2</f>
        <v>1.32</v>
      </c>
      <c r="BM346" s="5">
        <f>ROUNDDOWN(M346/2.13,0)</f>
        <v>3</v>
      </c>
      <c r="BN346" s="12">
        <f>M346/4.26</f>
        <v>1.549295774647887</v>
      </c>
      <c r="BO346" s="5">
        <f>IF(M346&lt;8,1.22,IF(M346&lt;15.2,0.108333*M346+0.353,2))</f>
        <v>1.22</v>
      </c>
      <c r="BP346" s="12">
        <f>IF(BK346&lt;BO346,1+0.3*(BO346-BK346)/M346,1)</f>
        <v>1</v>
      </c>
      <c r="BQ346" s="32"/>
      <c r="BR346" s="39">
        <v>0</v>
      </c>
      <c r="BS346" t="s" s="24">
        <v>154</v>
      </c>
      <c r="BT346" s="36"/>
      <c r="BU346" s="36"/>
      <c r="BV346" s="5">
        <f>IF(BQ346&lt;(M346/0.3048)^0.5,1,IF(BU346="x",1-BR346*0.02,IF(BT346="x",1-BR346*0.01,1)))</f>
        <v>1</v>
      </c>
      <c r="BW346" s="12">
        <f>IF(K346="x",MIN(1.315,1.28+U346*N346/BJ346/AR346/1100),IF(L346="x",1.28,MAX(1.245,1.28-U346*N346/BJ346/AR346/1100)))</f>
        <v>1.264099474725216</v>
      </c>
      <c r="BX346" s="41">
        <f>BW346*T346*BV346*BP346*N346^0.3*BJ346^0.4/V346^0.325</f>
        <v>0.9743407581345453</v>
      </c>
      <c r="BY346" s="29"/>
      <c r="BZ346" s="29"/>
      <c r="CA346" t="s" s="19">
        <v>213</v>
      </c>
      <c r="CB346" t="s" s="19">
        <v>231</v>
      </c>
      <c r="CC346" t="s" s="19">
        <v>164</v>
      </c>
      <c r="CD346" s="3"/>
      <c r="CE346" s="3"/>
      <c r="CF346" s="3"/>
      <c r="CG346" s="95">
        <f>A346</f>
      </c>
    </row>
    <row r="347" ht="12.75" customHeight="1">
      <c r="A347" s="94"/>
      <c r="B347" t="s" s="93">
        <v>960</v>
      </c>
      <c r="C347" t="s" s="19">
        <v>242</v>
      </c>
      <c r="D347" t="s" s="19">
        <v>185</v>
      </c>
      <c r="E347" s="3"/>
      <c r="F347" s="4"/>
      <c r="G347" s="4"/>
      <c r="H347" s="3"/>
      <c r="I347" s="3"/>
      <c r="J347" t="s" s="22">
        <v>154</v>
      </c>
      <c r="K347" s="71"/>
      <c r="L347" s="71"/>
      <c r="M347" s="11">
        <v>11.6</v>
      </c>
      <c r="N347" s="15">
        <v>11.3</v>
      </c>
      <c r="O347" s="11">
        <v>6.63</v>
      </c>
      <c r="P347" s="11">
        <v>1.15</v>
      </c>
      <c r="Q347" s="72"/>
      <c r="R347" s="71"/>
      <c r="S347" s="71"/>
      <c r="T347" s="38">
        <f>IF(S347&gt;0,1.048,IF(R347&gt;0,1.048,IF(Q347&gt;0,1.036,0.907+1.55*(P347/N347)-4.449*(P347/N347)^2)))</f>
        <v>1.018664558696844</v>
      </c>
      <c r="U347" s="39">
        <v>5900</v>
      </c>
      <c r="V347" s="45">
        <f>IF(H347="x",75+U347,IF(M347&lt;6.66,150+U347,-1.7384*M347^2+92.38*M347-388+U347))</f>
        <v>6349.688896</v>
      </c>
      <c r="W347" s="9"/>
      <c r="X347" s="9"/>
      <c r="Y347" s="9"/>
      <c r="Z347" s="9"/>
      <c r="AA347" s="9"/>
      <c r="AB347" s="9"/>
      <c r="AC347" s="9"/>
      <c r="AD347" s="73">
        <v>47</v>
      </c>
      <c r="AE347" s="5">
        <f>IF(AD347=0,(W347+4*X347+2*Y347+4*Z347+AA347)*AC347/12+W347*AB347/1.5,AD347)</f>
        <v>47</v>
      </c>
      <c r="AF347" s="5"/>
      <c r="AG347" s="5"/>
      <c r="AH347" s="5">
        <f>IF(AC347=0,AE347+AF347*AG347/2,AE347+AC347*AG347/2)</f>
        <v>47</v>
      </c>
      <c r="AI347" s="9"/>
      <c r="AJ347" s="9"/>
      <c r="AK347" s="73">
        <v>36</v>
      </c>
      <c r="AL347" s="5">
        <f>IF(AK347=0,AI347*AJ347/2,AK347)</f>
        <v>36</v>
      </c>
      <c r="AM347" s="32"/>
      <c r="AN347" s="11"/>
      <c r="AO347" s="11"/>
      <c r="AP347" s="5">
        <f>AL347+AI347*(AN347-AO347)/2</f>
        <v>36</v>
      </c>
      <c r="AQ347" s="5">
        <f>0.1*(AE347+AL347)</f>
        <v>8.300000000000001</v>
      </c>
      <c r="AR347" s="11">
        <v>15.8</v>
      </c>
      <c r="AS347" s="11"/>
      <c r="AT347" s="11"/>
      <c r="AU347" s="11"/>
      <c r="AV347" s="5"/>
      <c r="AW347" s="5">
        <f>IF(AV347=0,AS347/6*(AT347+AU347*4),AV347)</f>
        <v>0</v>
      </c>
      <c r="AX347" s="5">
        <v>0</v>
      </c>
      <c r="AY347" s="5">
        <f>IF(AX347&lt;0.149*M347+0.329,1,AX347/(0.149*M347+0.329))</f>
        <v>1</v>
      </c>
      <c r="AZ347" s="5">
        <f>IF(AW347*AY347&gt;AL347,(AW347*AY347-AL347)/4,0)</f>
        <v>0</v>
      </c>
      <c r="BA347" s="12">
        <f>0.401+0.1831*(2*AR347^2/(AH347+AP347+AZ347))-0.02016*(2*AR347^2/(AH347+AP347+AZ347))^2+0.0007472*(2*AR347^2/(AH347+AP347+AZ347))^3</f>
        <v>0.9355709963106491</v>
      </c>
      <c r="BB347" s="9"/>
      <c r="BC347" s="9"/>
      <c r="BD347" s="9"/>
      <c r="BE347" s="9"/>
      <c r="BF347" s="73">
        <v>85</v>
      </c>
      <c r="BG347" s="5">
        <f>IF(BF347=0,(BC347+BD347)*(BB347/12+BE347/3),BF347)</f>
        <v>85</v>
      </c>
      <c r="BH347" s="5">
        <f>IF(BG347*AY347&gt;AL347+AZ347,BG347*AY347-AL347-AZ347,0)</f>
        <v>49</v>
      </c>
      <c r="BI347" s="5">
        <f>IF(M347/1.6&lt;8,ROUND(M347/1.6,0),8)</f>
        <v>7</v>
      </c>
      <c r="BJ347" s="15">
        <f>(AH347+AP347+AZ347)*BA347+0.1*BH347</f>
        <v>82.55239269378389</v>
      </c>
      <c r="BK347" s="11">
        <v>2</v>
      </c>
      <c r="BL347" s="5">
        <f>M347*0.2</f>
        <v>2.32</v>
      </c>
      <c r="BM347" s="5">
        <f>ROUNDDOWN(M347/2.13,0)</f>
        <v>5</v>
      </c>
      <c r="BN347" s="12">
        <f>M347/4.26</f>
        <v>2.723004694835681</v>
      </c>
      <c r="BO347" s="5">
        <f>IF(M347&lt;8,1.22,IF(M347&lt;15.2,0.108333*M347+0.353,2))</f>
        <v>1.6096628</v>
      </c>
      <c r="BP347" s="7">
        <f>IF(BK347&lt;BO347,1+0.3*(BO347-BK347)/M347,1)</f>
        <v>1</v>
      </c>
      <c r="BQ347" s="39">
        <v>7.5</v>
      </c>
      <c r="BR347" s="39">
        <v>2</v>
      </c>
      <c r="BS347" s="71"/>
      <c r="BT347" s="71"/>
      <c r="BU347" t="s" s="22">
        <v>154</v>
      </c>
      <c r="BV347" s="15">
        <f>IF(BQ347&lt;(M347/0.3048)^0.5,1,IF(BU347="x",1-BR347*0.02,IF(BT347="x",1-BR347*0.01,1)))</f>
        <v>0.96</v>
      </c>
      <c r="BW347" s="7">
        <f>IF(K347="x",MIN(1.315,1.28+U347*N347/BJ347/AR347/1100),IF(L347="x",1.28,MAX(1.245,1.28-U347*N347/BJ347/AR347/1100)))</f>
        <v>1.245</v>
      </c>
      <c r="BX347" s="41">
        <f>BW347*T347*BV347*BP347*N347^0.3*BJ347^0.4/V347^0.325</f>
        <v>0.8554460685141498</v>
      </c>
      <c r="BY347" s="8"/>
      <c r="BZ347" s="8"/>
      <c r="CA347" t="s" s="31">
        <v>1956</v>
      </c>
      <c r="CB347" t="s" s="31">
        <v>1957</v>
      </c>
      <c r="CC347" t="s" s="19">
        <v>164</v>
      </c>
      <c r="CD347" t="s" s="19">
        <v>1958</v>
      </c>
      <c r="CE347" s="3"/>
      <c r="CF347" s="3"/>
      <c r="CG347" s="95">
        <f>A347</f>
      </c>
    </row>
    <row r="348" ht="12.75" customHeight="1">
      <c r="A348" s="94"/>
      <c r="B348" t="s" s="93">
        <v>748</v>
      </c>
      <c r="C348" t="s" s="19">
        <v>242</v>
      </c>
      <c r="D348" t="s" s="19">
        <v>185</v>
      </c>
      <c r="E348" s="3"/>
      <c r="F348" s="3"/>
      <c r="G348" s="3"/>
      <c r="H348" s="32"/>
      <c r="I348" s="32"/>
      <c r="J348" t="s" s="24">
        <v>154</v>
      </c>
      <c r="K348" s="36"/>
      <c r="L348" s="36"/>
      <c r="M348" s="11">
        <v>12.37</v>
      </c>
      <c r="N348" s="5">
        <v>12.27</v>
      </c>
      <c r="O348" s="11">
        <v>7.09</v>
      </c>
      <c r="P348" s="11">
        <v>1.2</v>
      </c>
      <c r="Q348" s="37"/>
      <c r="R348" s="36"/>
      <c r="S348" s="36"/>
      <c r="T348" s="38">
        <f>IF(S348&gt;0,1.048,IF(R348&gt;0,1.048,IF(Q348&gt;0,1.036,0.907+1.55*(P348/N348)-4.449*(P348/N348)^2)))</f>
        <v>1.01603569443033</v>
      </c>
      <c r="U348" s="39">
        <v>7300</v>
      </c>
      <c r="V348" s="40">
        <f>IF(H348="x",75+U348,IF(M348&lt;6.66,150+U348,-1.7384*M348^2+92.38*M348-388+U348))</f>
        <v>7788.73602104</v>
      </c>
      <c r="W348" s="5">
        <v>5.66</v>
      </c>
      <c r="X348" s="5"/>
      <c r="Y348" s="5"/>
      <c r="Z348" s="5"/>
      <c r="AA348" s="5"/>
      <c r="AB348" s="5"/>
      <c r="AC348" s="5">
        <v>14.41</v>
      </c>
      <c r="AD348" s="33">
        <v>53</v>
      </c>
      <c r="AE348" s="5">
        <f>IF(AD348=0,(W348+4*X348+2*Y348+4*Z348+AA348)*AC348/12+W348*AB348/1.5,AD348)</f>
        <v>53</v>
      </c>
      <c r="AF348" s="11">
        <v>15.85</v>
      </c>
      <c r="AG348" s="11"/>
      <c r="AH348" s="5">
        <f>IF(AC348=0,AE348+AF348*AG348/2,AE348+AC348*AG348/2)</f>
        <v>53</v>
      </c>
      <c r="AI348" s="3"/>
      <c r="AJ348" s="3"/>
      <c r="AK348" s="33">
        <v>36</v>
      </c>
      <c r="AL348" s="5">
        <f>IF(AK348=0,AI348*AJ348/2,AK348)</f>
        <v>36</v>
      </c>
      <c r="AM348" s="3"/>
      <c r="AN348" s="5"/>
      <c r="AO348" s="5"/>
      <c r="AP348" s="5">
        <f>AL348+AI348*(AN348-AO348)/2</f>
        <v>36</v>
      </c>
      <c r="AQ348" s="5">
        <f>0.1*(AE348+AL348)</f>
        <v>8.9</v>
      </c>
      <c r="AR348" s="11">
        <v>16.05</v>
      </c>
      <c r="AS348" s="11"/>
      <c r="AT348" s="11"/>
      <c r="AU348" s="11"/>
      <c r="AV348" s="33"/>
      <c r="AW348" s="5">
        <f>IF(AV348=0,AS348/6*(AT348+AU348*4),AV348)</f>
        <v>0</v>
      </c>
      <c r="AX348" s="11">
        <v>0</v>
      </c>
      <c r="AY348" s="5">
        <f>IF(AX348&lt;0.149*M348+0.329,1,AX348/(0.149*M348+0.329))</f>
        <v>1</v>
      </c>
      <c r="AZ348" s="5">
        <f>IF(AW348*AY348&gt;AL348,(AW348*AY348-AL348)/4,0)</f>
        <v>0</v>
      </c>
      <c r="BA348" s="12">
        <f>0.401+0.1831*(2*AR348^2/(AH348+AP348+AZ348))-0.02016*(2*AR348^2/(AH348+AP348+AZ348))^2+0.0007472*(2*AR348^2/(AH348+AP348+AZ348))^3</f>
        <v>0.9303087932256168</v>
      </c>
      <c r="BB348" s="3"/>
      <c r="BC348" s="3"/>
      <c r="BD348" s="3"/>
      <c r="BE348" s="3"/>
      <c r="BF348" s="33">
        <v>108</v>
      </c>
      <c r="BG348" s="5">
        <f>IF(BF348=0,(BC348+BD348)*(BB348/12+BE348/3),BF348)</f>
        <v>108</v>
      </c>
      <c r="BH348" s="5">
        <f>IF(BG348*AY348&gt;AL348+AZ348,BG348*AY348-AL348-AZ348,0)</f>
        <v>72</v>
      </c>
      <c r="BI348" s="5">
        <f>IF(M348/1.6&lt;8,ROUND(M348/1.6,0),8)</f>
        <v>8</v>
      </c>
      <c r="BJ348" s="5">
        <f>(AH348+AP348+AZ348)*BA348+0.1*BH348</f>
        <v>89.99748259707989</v>
      </c>
      <c r="BK348" s="11">
        <v>2</v>
      </c>
      <c r="BL348" s="5">
        <f>M348*0.2</f>
        <v>2.474</v>
      </c>
      <c r="BM348" s="5">
        <f>ROUNDDOWN(M348/2.13,0)</f>
        <v>5</v>
      </c>
      <c r="BN348" s="12">
        <f>M348/4.26</f>
        <v>2.903755868544601</v>
      </c>
      <c r="BO348" s="5">
        <f>IF(M348&lt;8,1.22,IF(M348&lt;15.2,0.108333*M348+0.353,2))</f>
        <v>1.69307921</v>
      </c>
      <c r="BP348" s="12">
        <f>IF(BK348&lt;BO348,1+0.3*(BO348-BK348)/M348,1)</f>
        <v>1</v>
      </c>
      <c r="BQ348" s="39">
        <v>7.5</v>
      </c>
      <c r="BR348" s="39">
        <v>2</v>
      </c>
      <c r="BS348" s="36"/>
      <c r="BT348" s="36"/>
      <c r="BU348" t="s" s="24">
        <v>154</v>
      </c>
      <c r="BV348" s="5">
        <f>IF(BQ348&lt;(M348/0.3048)^0.5,1,IF(BU348="x",1-BR348*0.02,IF(BT348="x",1-BR348*0.01,1)))</f>
        <v>0.96</v>
      </c>
      <c r="BW348" s="12">
        <f>IF(K348="x",MIN(1.315,1.28+U348*N348/BJ348/AR348/1100),IF(L348="x",1.28,MAX(1.245,1.28-U348*N348/BJ348/AR348/1100)))</f>
        <v>1.245</v>
      </c>
      <c r="BX348" s="41">
        <f>BW348*T348*BV348*BP348*N348^0.3*BJ348^0.4/V348^0.325</f>
        <v>0.8471655625480643</v>
      </c>
      <c r="BY348" s="29"/>
      <c r="BZ348" s="29"/>
      <c r="CA348" t="s" s="19">
        <v>1956</v>
      </c>
      <c r="CB348" t="s" s="19">
        <v>1957</v>
      </c>
      <c r="CC348" t="s" s="19">
        <v>164</v>
      </c>
      <c r="CD348" t="s" s="19">
        <v>1958</v>
      </c>
      <c r="CE348" s="3"/>
      <c r="CF348" s="3"/>
      <c r="CG348" s="95">
        <f>A348</f>
      </c>
    </row>
    <row r="349" ht="12.75" customHeight="1">
      <c r="A349" s="94"/>
      <c r="B349" t="s" s="93">
        <v>964</v>
      </c>
      <c r="C349" t="s" s="19">
        <v>242</v>
      </c>
      <c r="D349" t="s" s="19">
        <v>185</v>
      </c>
      <c r="E349" s="3"/>
      <c r="F349" s="3"/>
      <c r="G349" s="3"/>
      <c r="H349" s="32"/>
      <c r="I349" s="32"/>
      <c r="J349" t="s" s="24">
        <v>154</v>
      </c>
      <c r="K349" s="36"/>
      <c r="L349" s="36"/>
      <c r="M349" s="11">
        <v>13.61</v>
      </c>
      <c r="N349" s="5">
        <v>13.61</v>
      </c>
      <c r="O349" s="11">
        <v>7.7</v>
      </c>
      <c r="P349" s="11">
        <v>1.3</v>
      </c>
      <c r="Q349" s="37"/>
      <c r="R349" s="36"/>
      <c r="S349" s="36"/>
      <c r="T349" s="38">
        <f>IF(S349&gt;0,1.048,IF(R349&gt;0,1.048,IF(Q349&gt;0,1.036,0.907+1.55*(P349/N349)-4.449*(P349/N349)^2)))</f>
        <v>1.014461611675298</v>
      </c>
      <c r="U349" s="39">
        <v>10500</v>
      </c>
      <c r="V349" s="40">
        <f>IF(H349="x",75+U349,IF(M349&lt;6.66,150+U349,-1.7384*M349^2+92.38*M349-388+U349))</f>
        <v>11047.28431736</v>
      </c>
      <c r="W349" s="5"/>
      <c r="X349" s="5"/>
      <c r="Y349" s="5"/>
      <c r="Z349" s="5"/>
      <c r="AA349" s="5"/>
      <c r="AB349" s="5"/>
      <c r="AC349" s="5"/>
      <c r="AD349" s="33">
        <v>71.5</v>
      </c>
      <c r="AE349" s="5">
        <f>IF(AD349=0,(W349+4*X349+2*Y349+4*Z349+AA349)*AC349/12+W349*AB349/1.5,AD349)</f>
        <v>71.5</v>
      </c>
      <c r="AF349" s="11">
        <v>17.3</v>
      </c>
      <c r="AG349" s="11"/>
      <c r="AH349" s="5">
        <f>IF(AC349=0,AE349+AF349*AG349/2,AE349+AC349*AG349/2)</f>
        <v>71.5</v>
      </c>
      <c r="AI349" s="3"/>
      <c r="AJ349" s="3"/>
      <c r="AK349" s="33">
        <v>48</v>
      </c>
      <c r="AL349" s="5">
        <f>IF(AK349=0,AI349*AJ349/2,AK349)</f>
        <v>48</v>
      </c>
      <c r="AM349" s="3"/>
      <c r="AN349" s="5"/>
      <c r="AO349" s="5"/>
      <c r="AP349" s="5">
        <f>AL349+AI349*(AN349-AO349)/2</f>
        <v>48</v>
      </c>
      <c r="AQ349" s="5">
        <f>0.1*(AE349+AL349)</f>
        <v>11.95</v>
      </c>
      <c r="AR349" s="11">
        <v>16.05</v>
      </c>
      <c r="AS349" s="11"/>
      <c r="AT349" s="11"/>
      <c r="AU349" s="11"/>
      <c r="AV349" s="33"/>
      <c r="AW349" s="5">
        <f>IF(AV349=0,AS349/6*(AT349+AU349*4),AV349)</f>
        <v>0</v>
      </c>
      <c r="AX349" s="11">
        <v>0</v>
      </c>
      <c r="AY349" s="5">
        <f>IF(AX349&lt;0.149*M349+0.329,1,AX349/(0.149*M349+0.329))</f>
        <v>1</v>
      </c>
      <c r="AZ349" s="5">
        <f>IF(AW349*AY349&gt;AL349,(AW349*AY349-AL349)/4,0)</f>
        <v>0</v>
      </c>
      <c r="BA349" s="12">
        <f>0.401+0.1831*(2*AR349^2/(AH349+AP349+AZ349))-0.02016*(2*AR349^2/(AH349+AP349+AZ349))^2+0.0007472*(2*AR349^2/(AH349+AP349+AZ349))^3</f>
        <v>0.8755581043383061</v>
      </c>
      <c r="BB349" s="3"/>
      <c r="BC349" s="3"/>
      <c r="BD349" s="3"/>
      <c r="BE349" s="3"/>
      <c r="BF349" s="33">
        <v>125</v>
      </c>
      <c r="BG349" s="5">
        <f>IF(BF349=0,(BC349+BD349)*(BB349/12+BE349/3),BF349)</f>
        <v>125</v>
      </c>
      <c r="BH349" s="5">
        <f>IF(BG349*AY349&gt;AL349+AZ349,BG349*AY349-AL349-AZ349,0)</f>
        <v>77</v>
      </c>
      <c r="BI349" s="42">
        <f>IF(M349/1.6&lt;8,ROUND(M349/1.6,0),8)</f>
        <v>8</v>
      </c>
      <c r="BJ349" s="5">
        <f>(AH349+AP349+AZ349)*BA349+0.1*BH349</f>
        <v>112.3291934684276</v>
      </c>
      <c r="BK349" s="11">
        <v>2</v>
      </c>
      <c r="BL349" s="5">
        <f>M349*0.2</f>
        <v>2.722</v>
      </c>
      <c r="BM349" s="5">
        <f>ROUNDDOWN(M349/2.13,0)</f>
        <v>6</v>
      </c>
      <c r="BN349" s="12">
        <f>M349/4.26</f>
        <v>3.194835680751174</v>
      </c>
      <c r="BO349" s="5">
        <f>IF(M349&lt;8,1.22,IF(M349&lt;15.2,0.108333*M349+0.353,2))</f>
        <v>1.82741213</v>
      </c>
      <c r="BP349" s="12">
        <f>IF(BK349&lt;BO349,1+0.3*(BO349-BK349)/M349,1)</f>
        <v>1</v>
      </c>
      <c r="BQ349" s="39">
        <v>7.5</v>
      </c>
      <c r="BR349" s="39">
        <v>2</v>
      </c>
      <c r="BS349" s="36"/>
      <c r="BT349" s="36"/>
      <c r="BU349" t="s" s="24">
        <v>154</v>
      </c>
      <c r="BV349" s="5">
        <f>IF(BQ349&lt;(M349/0.3048)^0.5,1,IF(BU349="x",1-BR349*0.02,IF(BT349="x",1-BR349*0.01,1)))</f>
        <v>0.96</v>
      </c>
      <c r="BW349" s="12">
        <f>IF(K349="x",MIN(1.315,1.28+U349*N349/BJ349/AR349/1100),IF(L349="x",1.28,MAX(1.245,1.28-U349*N349/BJ349/AR349/1100)))</f>
        <v>1.245</v>
      </c>
      <c r="BX349" s="41">
        <f>BW349*T349*BV349*BP349*N349^0.3*BJ349^0.4/V349^0.325</f>
        <v>0.8510844351693071</v>
      </c>
      <c r="BY349" s="29"/>
      <c r="BZ349" s="29"/>
      <c r="CA349" t="s" s="19">
        <v>1956</v>
      </c>
      <c r="CB349" t="s" s="19">
        <v>1957</v>
      </c>
      <c r="CC349" t="s" s="19">
        <v>164</v>
      </c>
      <c r="CD349" t="s" s="19">
        <v>1981</v>
      </c>
      <c r="CE349" s="3"/>
      <c r="CF349" s="3"/>
      <c r="CG349" s="95">
        <f>A349</f>
      </c>
    </row>
    <row r="350" ht="12.75" customHeight="1">
      <c r="A350" s="94"/>
      <c r="B350" t="s" s="93">
        <v>1982</v>
      </c>
      <c r="C350" t="s" s="19">
        <v>242</v>
      </c>
      <c r="D350" t="s" s="19">
        <v>185</v>
      </c>
      <c r="E350" s="3"/>
      <c r="F350" s="4"/>
      <c r="G350" s="4"/>
      <c r="H350" s="32"/>
      <c r="I350" s="32"/>
      <c r="J350" t="s" s="24">
        <v>154</v>
      </c>
      <c r="K350" s="36"/>
      <c r="L350" s="36"/>
      <c r="M350" s="11">
        <v>14.5</v>
      </c>
      <c r="N350" s="15">
        <v>14.5</v>
      </c>
      <c r="O350" s="11">
        <v>7.9</v>
      </c>
      <c r="P350" s="11">
        <v>1.35</v>
      </c>
      <c r="Q350" s="37"/>
      <c r="R350" s="36"/>
      <c r="S350" s="36"/>
      <c r="T350" s="38">
        <f>IF(S350&gt;0,1.048,IF(R350&gt;0,1.048,IF(Q350&gt;0,1.036,0.907+1.55*(P350/N350)-4.449*(P350/N350)^2)))</f>
        <v>1.012745291319857</v>
      </c>
      <c r="U350" s="39">
        <v>9700</v>
      </c>
      <c r="V350" s="45">
        <f>IF(H350="x",75+U350,IF(M350&lt;6.66,150+U350,-1.7384*M350^2+92.38*M350-388+U350))</f>
        <v>10286.0114</v>
      </c>
      <c r="W350" s="9"/>
      <c r="X350" s="9"/>
      <c r="Y350" s="9"/>
      <c r="Z350" s="9"/>
      <c r="AA350" s="9"/>
      <c r="AB350" s="9"/>
      <c r="AC350" s="9"/>
      <c r="AD350" s="33">
        <v>73</v>
      </c>
      <c r="AE350" s="5">
        <f>IF(AD350=0,(W350+4*X350+2*Y350+4*Z350+AA350)*AC350/12+W350*AB350/1.5,AD350)</f>
        <v>73</v>
      </c>
      <c r="AF350" s="11">
        <v>18.75</v>
      </c>
      <c r="AG350" s="11"/>
      <c r="AH350" s="5">
        <f>IF(AC350=0,AE350+AF350*AG350/2,AE350+AC350*AG350/2)</f>
        <v>73</v>
      </c>
      <c r="AI350" s="9"/>
      <c r="AJ350" s="9"/>
      <c r="AK350" s="33">
        <v>47</v>
      </c>
      <c r="AL350" s="5">
        <f>IF(AK350=0,AI350*AJ350/2,AK350)</f>
        <v>47</v>
      </c>
      <c r="AM350" s="32"/>
      <c r="AN350" s="11"/>
      <c r="AO350" s="11"/>
      <c r="AP350" s="5">
        <f>AL350+AI350*(AN350-AO350)/2</f>
        <v>47</v>
      </c>
      <c r="AQ350" s="5">
        <f>0.1*(AE350+AL350)</f>
        <v>12</v>
      </c>
      <c r="AR350" s="11">
        <v>19.75</v>
      </c>
      <c r="AS350" s="11"/>
      <c r="AT350" s="11"/>
      <c r="AU350" s="11"/>
      <c r="AV350" s="33"/>
      <c r="AW350" s="5">
        <f>IF(AV350=0,AS350/6*(AT350+AU350*4),AV350)</f>
        <v>0</v>
      </c>
      <c r="AX350" s="11"/>
      <c r="AY350" s="5">
        <f>IF(AX350&lt;0.149*M350+0.329,1,AX350/(0.149*M350+0.329))</f>
        <v>1</v>
      </c>
      <c r="AZ350" s="5">
        <f>IF(AW350*AY350&gt;AL350,(AW350*AY350-AL350)/4,0)</f>
        <v>0</v>
      </c>
      <c r="BA350" s="12">
        <f>0.401+0.1831*(2*AR350^2/(AH350+AP350+AZ350))-0.02016*(2*AR350^2/(AH350+AP350+AZ350))^2+0.0007472*(2*AR350^2/(AH350+AP350+AZ350))^3</f>
        <v>0.9446061768524071</v>
      </c>
      <c r="BB350" s="9"/>
      <c r="BC350" s="9"/>
      <c r="BD350" s="9"/>
      <c r="BE350" s="9"/>
      <c r="BF350" s="33">
        <v>144</v>
      </c>
      <c r="BG350" s="5">
        <f>IF(BF350=0,(BC350+BD350)*(BB350/12+BE350/3),BF350)</f>
        <v>144</v>
      </c>
      <c r="BH350" s="5">
        <f>IF(BG350*AY350&gt;AL350+AZ350,BG350*AY350-AL350-AZ350,0)</f>
        <v>97</v>
      </c>
      <c r="BI350" s="42">
        <f>IF(M350/1.6&lt;8,ROUND(M350/1.6,0),8)</f>
        <v>8</v>
      </c>
      <c r="BJ350" s="15">
        <f>(AH350+AP350+AZ350)*BA350+0.1*BH350</f>
        <v>123.0527412222889</v>
      </c>
      <c r="BK350" s="11">
        <v>1.95</v>
      </c>
      <c r="BL350" s="5">
        <f>M350*0.2</f>
        <v>2.9</v>
      </c>
      <c r="BM350" s="5">
        <f>ROUNDDOWN(M350/2.13,0)</f>
        <v>6</v>
      </c>
      <c r="BN350" s="12">
        <f>M350/4.26</f>
        <v>3.403755868544601</v>
      </c>
      <c r="BO350" s="5">
        <f>IF(M350&lt;8,1.22,IF(M350&lt;15.2,0.108333*M350+0.353,2))</f>
        <v>1.9238285</v>
      </c>
      <c r="BP350" s="7">
        <f>IF(BK350&lt;BO350,1+0.3*(BO350-BK350)/M350,1)</f>
        <v>1</v>
      </c>
      <c r="BQ350" s="39">
        <v>7</v>
      </c>
      <c r="BR350" s="39">
        <v>2</v>
      </c>
      <c r="BS350" s="36"/>
      <c r="BT350" s="36"/>
      <c r="BU350" t="s" s="24">
        <v>154</v>
      </c>
      <c r="BV350" s="15">
        <f>IF(BQ350&lt;(M350/0.3048)^0.5,1,IF(BU350="x",1-BR350*0.02,IF(BT350="x",1-BR350*0.01,1)))</f>
        <v>0.96</v>
      </c>
      <c r="BW350" s="7">
        <f>IF(K350="x",MIN(1.315,1.28+U350*N350/BJ350/AR350/1100),IF(L350="x",1.28,MAX(1.245,1.28-U350*N350/BJ350/AR350/1100)))</f>
        <v>1.245</v>
      </c>
      <c r="BX350" s="41">
        <f>BW350*T350*BV350*BP350*N350^0.3*BJ350^0.4/V350^0.325</f>
        <v>0.9191945897534922</v>
      </c>
      <c r="BY350" s="8"/>
      <c r="BZ350" s="8"/>
      <c r="CA350" t="s" s="31">
        <v>1956</v>
      </c>
      <c r="CB350" t="s" s="31">
        <v>1957</v>
      </c>
      <c r="CC350" t="s" s="19">
        <v>164</v>
      </c>
      <c r="CD350" t="s" s="19">
        <v>1036</v>
      </c>
      <c r="CE350" s="3"/>
      <c r="CF350" s="3"/>
      <c r="CG350" s="95">
        <f>A350</f>
      </c>
    </row>
    <row r="351" ht="12.75" customHeight="1">
      <c r="A351" s="94"/>
      <c r="B351" t="s" s="93">
        <v>1031</v>
      </c>
      <c r="C351" t="s" s="19">
        <v>304</v>
      </c>
      <c r="D351" t="s" s="19">
        <v>305</v>
      </c>
      <c r="E351" s="3"/>
      <c r="F351" s="3"/>
      <c r="G351" s="3"/>
      <c r="H351" s="32"/>
      <c r="I351" s="32"/>
      <c r="J351" t="s" s="24">
        <v>154</v>
      </c>
      <c r="K351" s="36"/>
      <c r="L351" s="36"/>
      <c r="M351" s="11">
        <v>11.9</v>
      </c>
      <c r="N351" s="5">
        <v>11.9</v>
      </c>
      <c r="O351" s="11">
        <v>6.5</v>
      </c>
      <c r="P351" s="11">
        <v>1.1</v>
      </c>
      <c r="Q351" s="37"/>
      <c r="R351" s="36"/>
      <c r="S351" s="36"/>
      <c r="T351" s="38">
        <f>IF(S351&gt;0,1.048,IF(R351&gt;0,1.048,IF(Q351&gt;0,1.036,0.907+1.55*(P351/N351)-4.449*(P351/N351)^2)))</f>
        <v>1.012262410846692</v>
      </c>
      <c r="U351" s="39">
        <v>6200</v>
      </c>
      <c r="V351" s="40">
        <f>IF(H351="x",75+U351,IF(M351&lt;6.66,150+U351,-1.7384*M351^2+92.38*M351-388+U351))</f>
        <v>6665.147175999999</v>
      </c>
      <c r="W351" s="5"/>
      <c r="X351" s="5"/>
      <c r="Y351" s="5"/>
      <c r="Z351" s="5"/>
      <c r="AA351" s="5"/>
      <c r="AB351" s="5"/>
      <c r="AC351" s="5"/>
      <c r="AD351" s="33">
        <v>55</v>
      </c>
      <c r="AE351" s="5">
        <f>IF(AD351=0,(W351+4*X351+2*Y351+4*Z351+AA351)*AC351/12+W351*AB351/1.5,AD351)</f>
        <v>55</v>
      </c>
      <c r="AF351" s="11"/>
      <c r="AG351" s="11"/>
      <c r="AH351" s="5">
        <f>IF(AC351=0,AE351+AF351*AG351/2,AE351+AC351*AG351/2)</f>
        <v>55</v>
      </c>
      <c r="AI351" s="3"/>
      <c r="AJ351" s="3"/>
      <c r="AK351" s="33">
        <v>35</v>
      </c>
      <c r="AL351" s="5">
        <f>IF(AK351=0,AI351*AJ351/2,AK351)</f>
        <v>35</v>
      </c>
      <c r="AM351" s="3"/>
      <c r="AN351" s="5"/>
      <c r="AO351" s="5"/>
      <c r="AP351" s="5">
        <f>AL351+AI351*(AN351-AO351)/2</f>
        <v>35</v>
      </c>
      <c r="AQ351" s="5">
        <f>0.1*(AE351+AL351)</f>
        <v>9</v>
      </c>
      <c r="AR351" s="11">
        <v>15.4</v>
      </c>
      <c r="AS351" s="11"/>
      <c r="AT351" s="11"/>
      <c r="AU351" s="11"/>
      <c r="AV351" s="33"/>
      <c r="AW351" s="5">
        <f>IF(AV351=0,AS351/6*(AT351+AU351*4),AV351)</f>
        <v>0</v>
      </c>
      <c r="AX351" s="11">
        <v>0</v>
      </c>
      <c r="AY351" s="5">
        <f>IF(AX351&lt;0.149*M351+0.329,1,AX351/(0.149*M351+0.329))</f>
        <v>1</v>
      </c>
      <c r="AZ351" s="5">
        <f>IF(AW351*AY351&gt;AL351,(AW351*AY351-AL351)/4,0)</f>
        <v>0</v>
      </c>
      <c r="BA351" s="12">
        <f>0.401+0.1831*(2*AR351^2/(AH351+AP351+AZ351))-0.02016*(2*AR351^2/(AH351+AP351+AZ351))^2+0.0007472*(2*AR351^2/(AH351+AP351+AZ351))^3</f>
        <v>0.9154052102215645</v>
      </c>
      <c r="BB351" s="3"/>
      <c r="BC351" s="3"/>
      <c r="BD351" s="3"/>
      <c r="BE351" s="3"/>
      <c r="BF351" s="33">
        <v>108</v>
      </c>
      <c r="BG351" s="5">
        <f>IF(BF351=0,(BC351+BD351)*(BB351/12+BE351/3),BF351)</f>
        <v>108</v>
      </c>
      <c r="BH351" s="5">
        <f>IF(BG351*AY351&gt;AL351+AZ351,BG351*AY351-AL351-AZ351,0)</f>
        <v>73</v>
      </c>
      <c r="BI351" s="5">
        <f>IF(M351/1.6&lt;8,ROUND(M351/1.6,0),8)</f>
        <v>7</v>
      </c>
      <c r="BJ351" s="5">
        <f>(AH351+AP351+AZ351)*BA351+0.1*BH351</f>
        <v>89.68646891994081</v>
      </c>
      <c r="BK351" s="11">
        <v>2</v>
      </c>
      <c r="BL351" s="5">
        <f>M351*0.2</f>
        <v>2.38</v>
      </c>
      <c r="BM351" s="5">
        <f>ROUNDDOWN(M351/2.13,0)</f>
        <v>5</v>
      </c>
      <c r="BN351" s="12">
        <f>M351/4.26</f>
        <v>2.793427230046948</v>
      </c>
      <c r="BO351" s="5">
        <f>IF(M351&lt;8,1.22,IF(M351&lt;15.2,0.108333*M351+0.353,2))</f>
        <v>1.6421627</v>
      </c>
      <c r="BP351" s="12">
        <f>IF(BK351&lt;BO351,1+0.3*(BO351-BK351)/M351,1)</f>
        <v>1</v>
      </c>
      <c r="BQ351" s="39">
        <v>8</v>
      </c>
      <c r="BR351" s="39">
        <v>2</v>
      </c>
      <c r="BS351" s="36"/>
      <c r="BT351" s="36"/>
      <c r="BU351" t="s" s="24">
        <v>154</v>
      </c>
      <c r="BV351" s="5">
        <f>IF(BQ351&lt;(M351/0.3048)^0.5,1,IF(BU351="x",1-BR351*0.02,IF(BT351="x",1-BR351*0.01,1)))</f>
        <v>0.96</v>
      </c>
      <c r="BW351" s="12">
        <f>IF(K351="x",MIN(1.315,1.28+U351*N351/BJ351/AR351/1100),IF(L351="x",1.28,MAX(1.245,1.28-U351*N351/BJ351/AR351/1100)))</f>
        <v>1.245</v>
      </c>
      <c r="BX351" s="41">
        <f>BW351*T351*BV351*BP351*N351^0.3*BJ351^0.4/V351^0.325</f>
        <v>0.8785174383639451</v>
      </c>
      <c r="BY351" s="44">
        <v>17.5</v>
      </c>
      <c r="BZ351" s="48"/>
      <c r="CA351" t="s" s="19">
        <v>1956</v>
      </c>
      <c r="CB351" t="s" s="19">
        <v>1957</v>
      </c>
      <c r="CC351" t="s" s="19">
        <v>164</v>
      </c>
      <c r="CD351" t="s" s="19">
        <v>1036</v>
      </c>
      <c r="CE351" s="3"/>
      <c r="CF351" s="3"/>
      <c r="CG351" s="95">
        <f>A351</f>
      </c>
    </row>
    <row r="352" ht="12.75" customHeight="1">
      <c r="A352" s="94"/>
      <c r="B352" t="s" s="96">
        <v>1983</v>
      </c>
      <c r="C352" t="s" s="19">
        <v>304</v>
      </c>
      <c r="D352" t="s" s="19">
        <v>305</v>
      </c>
      <c r="E352" s="3"/>
      <c r="F352" s="3"/>
      <c r="G352" s="3"/>
      <c r="H352" s="32"/>
      <c r="I352" s="32"/>
      <c r="J352" t="s" s="24">
        <v>154</v>
      </c>
      <c r="K352" s="36"/>
      <c r="L352" s="36"/>
      <c r="M352" s="11">
        <v>9.9</v>
      </c>
      <c r="N352" s="5">
        <v>9.6</v>
      </c>
      <c r="O352" s="11">
        <v>5.3</v>
      </c>
      <c r="P352" s="11">
        <v>0.9</v>
      </c>
      <c r="Q352" s="37"/>
      <c r="R352" s="36"/>
      <c r="S352" s="36"/>
      <c r="T352" s="38">
        <f>IF(S352&gt;0,1.048,IF(R352&gt;0,1.048,IF(Q352&gt;0,1.036,0.907+1.55*(P352/N352)-4.449*(P352/N352)^2)))</f>
        <v>1.0132099609375</v>
      </c>
      <c r="U352" s="39">
        <v>3000</v>
      </c>
      <c r="V352" s="40">
        <f>IF(H352="x",75+U352,IF(M352&lt;6.66,150+U352,-1.7384*M352^2+92.38*M352-388+U352))</f>
        <v>3356.181416</v>
      </c>
      <c r="W352" s="5"/>
      <c r="X352" s="5"/>
      <c r="Y352" s="5"/>
      <c r="Z352" s="5"/>
      <c r="AA352" s="5"/>
      <c r="AB352" s="5"/>
      <c r="AC352" s="5">
        <v>14.4</v>
      </c>
      <c r="AD352" s="33">
        <v>44</v>
      </c>
      <c r="AE352" s="5">
        <f>IF(AD352=0,(W352+4*X352+2*Y352+4*Z352+AA352)*AC352/12+W352*AB352/1.5,AD352)</f>
        <v>44</v>
      </c>
      <c r="AF352" s="11"/>
      <c r="AG352" s="11"/>
      <c r="AH352" s="5">
        <f>IF(AC352=0,AE352+AF352*AG352/2,AE352+AC352*AG352/2)</f>
        <v>44</v>
      </c>
      <c r="AI352" s="3"/>
      <c r="AJ352" s="3"/>
      <c r="AK352" s="33">
        <v>23</v>
      </c>
      <c r="AL352" s="5">
        <f>IF(AK352=0,AI352*AJ352/2,AK352)</f>
        <v>23</v>
      </c>
      <c r="AM352" s="3"/>
      <c r="AN352" s="5"/>
      <c r="AO352" s="5"/>
      <c r="AP352" s="5">
        <f>AL352+AI352*(AN352-AO352)/2</f>
        <v>23</v>
      </c>
      <c r="AQ352" s="5">
        <f>0.1*(AE352+AL352)</f>
        <v>6.7</v>
      </c>
      <c r="AR352" s="11">
        <v>14.03</v>
      </c>
      <c r="AS352" s="11"/>
      <c r="AT352" s="11"/>
      <c r="AU352" s="11"/>
      <c r="AV352" s="33"/>
      <c r="AW352" s="5">
        <f>IF(AV352=0,AS352/6*(AT352+AU352*4),AV352)</f>
        <v>0</v>
      </c>
      <c r="AX352" s="11">
        <v>0</v>
      </c>
      <c r="AY352" s="5">
        <f>IF(AX352&lt;0.149*M352+0.329,1,AX352/(0.149*M352+0.329))</f>
        <v>1</v>
      </c>
      <c r="AZ352" s="5">
        <f>IF(AW352*AY352&gt;AL352,(AW352*AY352-AL352)/4,0)</f>
        <v>0</v>
      </c>
      <c r="BA352" s="12">
        <f>0.401+0.1831*(2*AR352^2/(AH352+AP352+AZ352))-0.02016*(2*AR352^2/(AH352+AP352+AZ352))^2+0.0007472*(2*AR352^2/(AH352+AP352+AZ352))^3</f>
        <v>0.9324141844786311</v>
      </c>
      <c r="BB352" s="3"/>
      <c r="BC352" s="3"/>
      <c r="BD352" s="3"/>
      <c r="BE352" s="3"/>
      <c r="BF352" s="33">
        <v>80</v>
      </c>
      <c r="BG352" s="5">
        <f>IF(BF352=0,(BC352+BD352)*(BB352/12+BE352/3),BF352)</f>
        <v>80</v>
      </c>
      <c r="BH352" s="5">
        <f>IF(BG352*AY352&gt;AL352+AZ352,BG352*AY352-AL352-AZ352,0)</f>
        <v>57</v>
      </c>
      <c r="BI352" s="5">
        <f>IF(M352/1.6&lt;8,ROUND(M352/1.6,0),8)</f>
        <v>6</v>
      </c>
      <c r="BJ352" s="5">
        <f>(AH352+AP352+AZ352)*BA352+0.1*BH352</f>
        <v>68.17175036006829</v>
      </c>
      <c r="BK352" s="11">
        <v>1.9</v>
      </c>
      <c r="BL352" s="5">
        <f>M352*0.2</f>
        <v>1.98</v>
      </c>
      <c r="BM352" s="5">
        <f>ROUNDDOWN(M352/2.13,0)</f>
        <v>4</v>
      </c>
      <c r="BN352" s="12">
        <f>M352/4.26</f>
        <v>2.323943661971831</v>
      </c>
      <c r="BO352" s="5">
        <f>IF(M352&lt;8,1.22,IF(M352&lt;15.2,0.108333*M352+0.353,2))</f>
        <v>1.4254967</v>
      </c>
      <c r="BP352" s="12">
        <f>IF(BK352&lt;BO352,1+0.3*(BO352-BK352)/M352,1)</f>
        <v>1</v>
      </c>
      <c r="BQ352" s="39">
        <v>6</v>
      </c>
      <c r="BR352" s="39">
        <v>0</v>
      </c>
      <c r="BS352" t="s" s="24">
        <v>154</v>
      </c>
      <c r="BT352" s="36"/>
      <c r="BU352" s="36"/>
      <c r="BV352" s="5">
        <f>IF(BQ352&lt;(M352/0.3048)^0.5,1,IF(BU352="x",1-BR352*0.02,IF(BT352="x",1-BR352*0.01,1)))</f>
        <v>1</v>
      </c>
      <c r="BW352" s="12">
        <f>IF(K352="x",MIN(1.315,1.28+U352*N352/BJ352/AR352/1100),IF(L352="x",1.28,MAX(1.245,1.28-U352*N352/BJ352/AR352/1100)))</f>
        <v>1.252626036326014</v>
      </c>
      <c r="BX352" s="41">
        <f>BW352*T352*BV352*BP352*N352^0.3*BJ352^0.4/V352^0.325</f>
        <v>0.9677078607681615</v>
      </c>
      <c r="BY352" s="44">
        <v>25</v>
      </c>
      <c r="BZ352" s="29"/>
      <c r="CA352" t="s" s="19">
        <v>1984</v>
      </c>
      <c r="CB352" t="s" s="19">
        <v>1985</v>
      </c>
      <c r="CC352" t="s" s="19">
        <v>164</v>
      </c>
      <c r="CD352" t="s" s="19">
        <v>1963</v>
      </c>
      <c r="CE352" s="3"/>
      <c r="CF352" s="3"/>
      <c r="CG352" s="95">
        <f>A352</f>
      </c>
    </row>
    <row r="353" ht="12.75" customHeight="1">
      <c r="A353" s="94"/>
      <c r="B353" t="s" s="97">
        <v>898</v>
      </c>
      <c r="C353" t="s" s="93">
        <v>899</v>
      </c>
      <c r="D353" t="s" s="19">
        <v>900</v>
      </c>
      <c r="E353" s="3"/>
      <c r="F353" s="3"/>
      <c r="G353" s="3"/>
      <c r="H353" s="32"/>
      <c r="I353" s="32"/>
      <c r="J353" s="36"/>
      <c r="K353" t="s" s="24">
        <v>154</v>
      </c>
      <c r="L353" s="36"/>
      <c r="M353" s="11">
        <v>6.72</v>
      </c>
      <c r="N353" s="5">
        <v>6.67</v>
      </c>
      <c r="O353" s="11">
        <v>4.8</v>
      </c>
      <c r="P353" s="11"/>
      <c r="Q353" t="s" s="24">
        <v>903</v>
      </c>
      <c r="R353" s="36"/>
      <c r="S353" s="36"/>
      <c r="T353" s="38">
        <f>IF(S353&gt;0,1.048,IF(R353&gt;0,1.048,IF(Q353&gt;0,1.036,0.907+1.55*(P353/N353)-4.449*(P353/N353)^2)))</f>
        <v>1.036</v>
      </c>
      <c r="U353" s="39">
        <v>465</v>
      </c>
      <c r="V353" s="40">
        <f>IF(H353="x",75+U353,IF(M353&lt;6.66,150+U353,-1.7384*M353^2+92.38*M353-388+U353))</f>
        <v>619.2902374399999</v>
      </c>
      <c r="W353" s="5"/>
      <c r="X353" s="5"/>
      <c r="Y353" s="5"/>
      <c r="Z353" s="5"/>
      <c r="AA353" s="5"/>
      <c r="AB353" s="5"/>
      <c r="AC353" s="5">
        <v>9.140000000000001</v>
      </c>
      <c r="AD353" s="33">
        <v>20.48</v>
      </c>
      <c r="AE353" s="5">
        <f>IF(AD353=0,(W353+4*X353+2*Y353+4*Z353+AA353)*AC353/12+W353*AB353/1.5,AD353)</f>
        <v>20.48</v>
      </c>
      <c r="AF353" s="11">
        <v>10</v>
      </c>
      <c r="AG353" s="11">
        <v>0.37</v>
      </c>
      <c r="AH353" s="5">
        <f>IF(AC353=0,AE353+AF353*AG353/2,AE353+AC353*AG353/2)</f>
        <v>22.1709</v>
      </c>
      <c r="AI353" s="5">
        <v>8.5</v>
      </c>
      <c r="AJ353" s="3"/>
      <c r="AK353" s="33">
        <v>8.42</v>
      </c>
      <c r="AL353" s="5">
        <f>IF(AK353=0,AI353*AJ353/2,AK353)</f>
        <v>8.42</v>
      </c>
      <c r="AM353" t="s" s="19">
        <v>154</v>
      </c>
      <c r="AN353" s="5"/>
      <c r="AO353" s="5"/>
      <c r="AP353" s="5">
        <f>AL353+AI353*(AN353-AO353)/2</f>
        <v>8.42</v>
      </c>
      <c r="AQ353" s="5">
        <f>0.1*(AE353+AL353)</f>
        <v>2.89</v>
      </c>
      <c r="AR353" s="11">
        <v>10.04</v>
      </c>
      <c r="AS353" s="11"/>
      <c r="AT353" s="11"/>
      <c r="AU353" s="11"/>
      <c r="AV353" s="33">
        <v>20.3</v>
      </c>
      <c r="AW353" s="5">
        <f>IF(AV353=0,AS353/6*(AT353+AU353*4),AV353)</f>
        <v>20.3</v>
      </c>
      <c r="AX353" s="11">
        <v>0</v>
      </c>
      <c r="AY353" s="5">
        <f>IF(AX353&lt;0.149*M353+0.329,1,AX353/(0.149*M353+0.329))</f>
        <v>1</v>
      </c>
      <c r="AZ353" s="5">
        <f>IF(AW353*AY353&gt;AL353,(AW353*AY353-AL353)/4,0)</f>
        <v>2.97</v>
      </c>
      <c r="BA353" s="12">
        <f>0.401+0.1831*(2*AR353^2/(AH353+AP353+AZ353))-0.02016*(2*AR353^2/(AH353+AP353+AZ353))^2+0.0007472*(2*AR353^2/(AH353+AP353+AZ353))^3</f>
        <v>0.9353898798635334</v>
      </c>
      <c r="BB353" s="3"/>
      <c r="BC353" s="3"/>
      <c r="BD353" s="3"/>
      <c r="BE353" s="3"/>
      <c r="BF353" s="33"/>
      <c r="BG353" s="5">
        <f>IF(BF353=0,(BC353+BD353)*(BB353/12+BE353/3),BF353)</f>
        <v>0</v>
      </c>
      <c r="BH353" s="5">
        <f>IF(BG353*AY353&gt;AL353+AZ353,BG353*AY353-AL353-AZ353,0)</f>
        <v>0</v>
      </c>
      <c r="BI353" s="5">
        <f>IF(M353/1.6&lt;8,ROUND(M353/1.6,0),8)</f>
        <v>4</v>
      </c>
      <c r="BJ353" s="5">
        <f>(AH353+AP353+AZ353)*BA353+0.1*BH353</f>
        <v>31.39252621911205</v>
      </c>
      <c r="BK353" s="11">
        <v>1.02</v>
      </c>
      <c r="BL353" s="5">
        <f>M353*0.2</f>
        <v>1.344</v>
      </c>
      <c r="BM353" s="5">
        <f>ROUNDDOWN(M353/2.13,0)</f>
        <v>3</v>
      </c>
      <c r="BN353" s="12">
        <f>M353/4.26</f>
        <v>1.577464788732394</v>
      </c>
      <c r="BO353" s="5">
        <f>IF(M353&lt;8,1.22,IF(M353&lt;15.2,0.108333*M353+0.353,2))</f>
        <v>1.22</v>
      </c>
      <c r="BP353" s="12">
        <f>IF(BK353&lt;BO353,1+0.3*(BO353-BK353)/M353,1)</f>
        <v>1.008928571428571</v>
      </c>
      <c r="BQ353" s="32"/>
      <c r="BR353" s="32"/>
      <c r="BS353" t="s" s="24">
        <v>154</v>
      </c>
      <c r="BT353" s="36"/>
      <c r="BU353" s="36"/>
      <c r="BV353" s="5">
        <f>IF(BQ353&lt;(M353/0.3048)^0.5,1,IF(BU353="x",1-BR353*0.02,IF(BT353="x",1-BR353*0.01,1)))</f>
        <v>1</v>
      </c>
      <c r="BW353" s="12">
        <f>IF(K353="x",MIN(1.315,1.28+U353*N353/BJ353/AR353/1100),IF(L353="x",1.28,MAX(1.245,1.28-U353*N353/BJ353/AR353/1100)))</f>
        <v>1.288945942927857</v>
      </c>
      <c r="BX353" s="41">
        <f>BW353*T353*BV353*BP353*N353^0.3*BJ353^0.4/V353^0.325</f>
        <v>1.169654269795939</v>
      </c>
      <c r="BY353" s="29"/>
      <c r="BZ353" s="29"/>
      <c r="CA353" t="s" s="19">
        <v>188</v>
      </c>
      <c r="CB353" t="s" s="19">
        <v>1239</v>
      </c>
      <c r="CC353" t="s" s="19">
        <v>905</v>
      </c>
      <c r="CD353" s="3"/>
      <c r="CE353" s="3"/>
      <c r="CF353" s="3"/>
      <c r="CG353" s="95">
        <f>A353</f>
      </c>
    </row>
    <row r="354" ht="12.75" customHeight="1">
      <c r="A354" s="94"/>
      <c r="B354" t="s" s="100">
        <v>1692</v>
      </c>
      <c r="C354" t="s" s="19">
        <v>333</v>
      </c>
      <c r="D354" t="s" s="19">
        <v>334</v>
      </c>
      <c r="E354" s="3"/>
      <c r="F354" s="3"/>
      <c r="G354" s="3"/>
      <c r="H354" s="32"/>
      <c r="I354" s="32"/>
      <c r="J354" t="s" s="24">
        <v>154</v>
      </c>
      <c r="K354" s="36"/>
      <c r="L354" s="36"/>
      <c r="M354" s="11">
        <v>11.98</v>
      </c>
      <c r="N354" s="5">
        <v>11.98</v>
      </c>
      <c r="O354" s="11">
        <v>6.5</v>
      </c>
      <c r="P354" s="11">
        <v>1.2</v>
      </c>
      <c r="Q354" s="37"/>
      <c r="R354" s="36"/>
      <c r="S354" s="36"/>
      <c r="T354" s="38">
        <f>IF(S354&gt;0,1.048,IF(R354&gt;0,1.048,IF(Q354&gt;0,1.036,0.907+1.55*(P354/N354)-4.449*(P354/N354)^2)))</f>
        <v>1.017620093032071</v>
      </c>
      <c r="U354" s="39">
        <v>6600</v>
      </c>
      <c r="V354" s="40">
        <f>IF(H354="x",75+U354,IF(M354&lt;6.66,150+U354,-1.7384*M354^2+92.38*M354-388+U354))</f>
        <v>7069.21653664</v>
      </c>
      <c r="W354" s="5"/>
      <c r="X354" s="5"/>
      <c r="Y354" s="5"/>
      <c r="Z354" s="5"/>
      <c r="AA354" s="5"/>
      <c r="AB354" s="5"/>
      <c r="AC354" s="5"/>
      <c r="AD354" s="33">
        <v>52.5</v>
      </c>
      <c r="AE354" s="5">
        <f>IF(AD354=0,(W354+4*X354+2*Y354+4*Z354+AA354)*AC354/12+W354*AB354/1.5,AD354)</f>
        <v>52.5</v>
      </c>
      <c r="AF354" s="11">
        <v>15.2</v>
      </c>
      <c r="AG354" s="11"/>
      <c r="AH354" s="5">
        <f>IF(AC354=0,AE354+AF354*AG354/2,AE354+AC354*AG354/2)</f>
        <v>52.5</v>
      </c>
      <c r="AI354" s="3"/>
      <c r="AJ354" s="3"/>
      <c r="AK354" s="33">
        <v>30</v>
      </c>
      <c r="AL354" s="5">
        <f>IF(AK354=0,AI354*AJ354/2,AK354)</f>
        <v>30</v>
      </c>
      <c r="AM354" s="3"/>
      <c r="AN354" s="5"/>
      <c r="AO354" s="5"/>
      <c r="AP354" s="5">
        <f>AL354+AI354*(AN354-AO354)/2</f>
        <v>30</v>
      </c>
      <c r="AQ354" s="5">
        <f>0.1*(AE354+AL354)</f>
        <v>8.25</v>
      </c>
      <c r="AR354" s="11">
        <v>15.2</v>
      </c>
      <c r="AS354" s="11"/>
      <c r="AT354" s="11"/>
      <c r="AU354" s="11"/>
      <c r="AV354" s="33"/>
      <c r="AW354" s="5">
        <f>IF(AV354=0,AS354/6*(AT354+AU354*4),AV354)</f>
        <v>0</v>
      </c>
      <c r="AX354" s="11"/>
      <c r="AY354" s="5">
        <f>IF(AX354&lt;0.149*M354+0.329,1,AX354/(0.149*M354+0.329))</f>
        <v>1</v>
      </c>
      <c r="AZ354" s="5">
        <f>IF(AW354*AY354&gt;AL354,(AW354*AY354-AL354)/4,0)</f>
        <v>0</v>
      </c>
      <c r="BA354" s="12">
        <f>0.401+0.1831*(2*AR354^2/(AH354+AP354+AZ354))-0.02016*(2*AR354^2/(AH354+AP354+AZ354))^2+0.0007472*(2*AR354^2/(AH354+AP354+AZ354))^3</f>
        <v>0.9253894361213858</v>
      </c>
      <c r="BB354" s="3"/>
      <c r="BC354" s="3"/>
      <c r="BD354" s="3"/>
      <c r="BE354" s="3"/>
      <c r="BF354" s="33">
        <v>99</v>
      </c>
      <c r="BG354" s="5">
        <f>IF(BF354=0,(BC354+BD354)*(BB354/12+BE354/3),BF354)</f>
        <v>99</v>
      </c>
      <c r="BH354" s="5">
        <f>IF(BG354*AY354&gt;AL354+AZ354,BG354*AY354-AL354-AZ354,0)</f>
        <v>69</v>
      </c>
      <c r="BI354" s="5">
        <f>IF(M354/1.6&lt;8,ROUND(M354/1.6,0),8)</f>
        <v>7</v>
      </c>
      <c r="BJ354" s="5">
        <f>(AH354+AP354+AZ354)*BA354+0.1*BH354</f>
        <v>83.24462848001433</v>
      </c>
      <c r="BK354" s="11">
        <v>1.9</v>
      </c>
      <c r="BL354" s="5">
        <f>M354*0.2</f>
        <v>2.396</v>
      </c>
      <c r="BM354" s="5">
        <f>ROUNDDOWN(M354/2.13,0)</f>
        <v>5</v>
      </c>
      <c r="BN354" s="12">
        <f>M354/4.26</f>
        <v>2.812206572769953</v>
      </c>
      <c r="BO354" s="5">
        <f>IF(M354&lt;8,1.22,IF(M354&lt;15.2,0.108333*M354+0.353,2))</f>
        <v>1.65082934</v>
      </c>
      <c r="BP354" s="12">
        <f>IF(BK354&lt;BO354,1+0.3*(BO354-BK354)/M354,1)</f>
        <v>1</v>
      </c>
      <c r="BQ354" s="39">
        <v>8</v>
      </c>
      <c r="BR354" s="39">
        <v>2</v>
      </c>
      <c r="BS354" s="36"/>
      <c r="BT354" s="36"/>
      <c r="BU354" t="s" s="24">
        <v>154</v>
      </c>
      <c r="BV354" s="5">
        <f>IF(BQ354&lt;(M354/0.3048)^0.5,1,IF(BU354="x",1-BR354*0.02,IF(BT354="x",1-BR354*0.01,1)))</f>
        <v>0.96</v>
      </c>
      <c r="BW354" s="12">
        <f>IF(K354="x",MIN(1.315,1.28+U354*N354/BJ354/AR354/1100),IF(L354="x",1.28,MAX(1.245,1.28-U354*N354/BJ354/AR354/1100)))</f>
        <v>1.245</v>
      </c>
      <c r="BX354" s="41">
        <f>BW354*T354*BV354*BP354*N354^0.3*BJ354^0.4/V354^0.325</f>
        <v>0.8426750271444853</v>
      </c>
      <c r="BY354" s="29"/>
      <c r="BZ354" s="29"/>
      <c r="CA354" t="s" s="19">
        <v>1956</v>
      </c>
      <c r="CB354" t="s" s="19">
        <v>1957</v>
      </c>
      <c r="CC354" t="s" s="19">
        <v>164</v>
      </c>
      <c r="CD354" t="s" s="19">
        <v>1036</v>
      </c>
      <c r="CE354" s="3"/>
      <c r="CF354" s="3"/>
      <c r="CG354" s="95">
        <f>A354</f>
      </c>
    </row>
    <row r="355" ht="12.75" customHeight="1">
      <c r="A355" s="94"/>
      <c r="B355" t="s" s="93">
        <v>1059</v>
      </c>
      <c r="C355" t="s" s="19">
        <v>333</v>
      </c>
      <c r="D355" t="s" s="19">
        <v>266</v>
      </c>
      <c r="E355" s="3"/>
      <c r="F355" s="3"/>
      <c r="G355" s="3"/>
      <c r="H355" s="32"/>
      <c r="I355" s="32"/>
      <c r="J355" t="s" s="24">
        <v>154</v>
      </c>
      <c r="K355" s="36"/>
      <c r="L355" s="36"/>
      <c r="M355" s="11">
        <v>11.98</v>
      </c>
      <c r="N355" s="5">
        <v>11.98</v>
      </c>
      <c r="O355" s="11">
        <v>6.5</v>
      </c>
      <c r="P355" s="11">
        <v>1.2</v>
      </c>
      <c r="Q355" s="37"/>
      <c r="R355" s="36"/>
      <c r="S355" s="36"/>
      <c r="T355" s="38">
        <f>IF(S355&gt;0,1.048,IF(R355&gt;0,1.048,IF(Q355&gt;0,1.036,0.907+1.55*(P355/N355)-4.449*(P355/N355)^2)))</f>
        <v>1.017620093032071</v>
      </c>
      <c r="U355" s="39">
        <v>7400</v>
      </c>
      <c r="V355" s="40">
        <f>IF(H355="x",75+U355,IF(M355&lt;6.66,150+U355,-1.7384*M355^2+92.38*M355-388+U355))</f>
        <v>7869.21653664</v>
      </c>
      <c r="W355" s="5"/>
      <c r="X355" s="5"/>
      <c r="Y355" s="5"/>
      <c r="Z355" s="5"/>
      <c r="AA355" s="5"/>
      <c r="AB355" s="5"/>
      <c r="AC355" s="5"/>
      <c r="AD355" s="33">
        <v>56</v>
      </c>
      <c r="AE355" s="5">
        <f>IF(AD355=0,(W355+4*X355+2*Y355+4*Z355+AA355)*AC355/12+W355*AB355/1.5,AD355)</f>
        <v>56</v>
      </c>
      <c r="AF355" s="11">
        <v>15.2</v>
      </c>
      <c r="AG355" s="11"/>
      <c r="AH355" s="5">
        <f>IF(AC355=0,AE355+AF355*AG355/2,AE355+AC355*AG355/2)</f>
        <v>56</v>
      </c>
      <c r="AI355" s="3"/>
      <c r="AJ355" s="3"/>
      <c r="AK355" s="33">
        <v>31</v>
      </c>
      <c r="AL355" s="5">
        <f>IF(AK355=0,AI355*AJ355/2,AK355)</f>
        <v>31</v>
      </c>
      <c r="AM355" s="3"/>
      <c r="AN355" s="5"/>
      <c r="AO355" s="5"/>
      <c r="AP355" s="5">
        <f>AL355+AI355*(AN355-AO355)/2</f>
        <v>31</v>
      </c>
      <c r="AQ355" s="5">
        <f>0.1*(AE355+AL355)</f>
        <v>8.700000000000001</v>
      </c>
      <c r="AR355" s="11">
        <v>15.2</v>
      </c>
      <c r="AS355" s="11"/>
      <c r="AT355" s="11"/>
      <c r="AU355" s="11"/>
      <c r="AV355" s="33"/>
      <c r="AW355" s="5">
        <f>IF(AV355=0,AS355/6*(AT355+AU355*4),AV355)</f>
        <v>0</v>
      </c>
      <c r="AX355" s="11"/>
      <c r="AY355" s="5">
        <f>IF(AX355&lt;0.149*M355+0.329,1,AX355/(0.149*M355+0.329))</f>
        <v>1</v>
      </c>
      <c r="AZ355" s="5">
        <f>IF(AW355*AY355&gt;AL355,(AW355*AY355-AL355)/4,0)</f>
        <v>0</v>
      </c>
      <c r="BA355" s="12">
        <f>0.401+0.1831*(2*AR355^2/(AH355+AP355+AZ355))-0.02016*(2*AR355^2/(AH355+AP355+AZ355))^2+0.0007472*(2*AR355^2/(AH355+AP355+AZ355))^3</f>
        <v>0.9167400786269607</v>
      </c>
      <c r="BB355" s="3"/>
      <c r="BC355" s="3"/>
      <c r="BD355" s="3"/>
      <c r="BE355" s="3"/>
      <c r="BF355" s="33">
        <v>165</v>
      </c>
      <c r="BG355" s="5">
        <f>IF(BF355=0,(BC355+BD355)*(BB355/12+BE355/3),BF355)</f>
        <v>165</v>
      </c>
      <c r="BH355" s="5">
        <f>IF(BG355*AY355&gt;AL355+AZ355,BG355*AY355-AL355-AZ355,0)</f>
        <v>134</v>
      </c>
      <c r="BI355" s="5">
        <f>IF(M355/1.6&lt;8,ROUND(M355/1.6,0),8)</f>
        <v>7</v>
      </c>
      <c r="BJ355" s="5">
        <f>(AH355+AP355+AZ355)*BA355+0.1*BH355</f>
        <v>93.15638684054559</v>
      </c>
      <c r="BK355" s="11">
        <v>1.9</v>
      </c>
      <c r="BL355" s="5">
        <f>M355*0.2</f>
        <v>2.396</v>
      </c>
      <c r="BM355" s="5">
        <f>ROUNDDOWN(M355/2.13,0)</f>
        <v>5</v>
      </c>
      <c r="BN355" s="12">
        <f>M355/4.26</f>
        <v>2.812206572769953</v>
      </c>
      <c r="BO355" s="5">
        <f>IF(M355&lt;8,1.22,IF(M355&lt;15.2,0.108333*M355+0.353,2))</f>
        <v>1.65082934</v>
      </c>
      <c r="BP355" s="12">
        <f>IF(BK355&lt;BO355,1+0.3*(BO355-BK355)/M355,1)</f>
        <v>1</v>
      </c>
      <c r="BQ355" s="39">
        <v>8</v>
      </c>
      <c r="BR355" s="39">
        <v>2</v>
      </c>
      <c r="BS355" s="36"/>
      <c r="BT355" s="36"/>
      <c r="BU355" t="s" s="24">
        <v>154</v>
      </c>
      <c r="BV355" s="5">
        <f>IF(BQ355&lt;(M355/0.3048)^0.5,1,IF(BU355="x",1-BR355*0.02,IF(BT355="x",1-BR355*0.01,1)))</f>
        <v>0.96</v>
      </c>
      <c r="BW355" s="12">
        <f>IF(K355="x",MIN(1.315,1.28+U355*N355/BJ355/AR355/1100),IF(L355="x",1.28,MAX(1.245,1.28-U355*N355/BJ355/AR355/1100)))</f>
        <v>1.245</v>
      </c>
      <c r="BX355" s="41">
        <f>BW355*T355*BV355*BP355*N355^0.3*BJ355^0.4/V355^0.325</f>
        <v>0.8512764548508358</v>
      </c>
      <c r="BY355" s="29"/>
      <c r="BZ355" s="29"/>
      <c r="CA355" t="s" s="19">
        <v>1956</v>
      </c>
      <c r="CB355" t="s" s="19">
        <v>1957</v>
      </c>
      <c r="CC355" t="s" s="19">
        <v>164</v>
      </c>
      <c r="CD355" t="s" s="19">
        <v>1958</v>
      </c>
      <c r="CE355" s="3"/>
      <c r="CF355" s="3"/>
      <c r="CG355" s="95">
        <f>A355</f>
      </c>
    </row>
    <row r="356" ht="12.75" customHeight="1">
      <c r="A356" s="94"/>
      <c r="B356" t="s" s="93">
        <v>1599</v>
      </c>
      <c r="C356" t="s" s="19">
        <v>333</v>
      </c>
      <c r="D356" t="s" s="19">
        <v>334</v>
      </c>
      <c r="E356" s="3"/>
      <c r="F356" s="3"/>
      <c r="G356" s="3"/>
      <c r="H356" s="32"/>
      <c r="I356" s="32"/>
      <c r="J356" t="s" s="24">
        <v>154</v>
      </c>
      <c r="K356" s="36"/>
      <c r="L356" s="36"/>
      <c r="M356" s="11">
        <v>13.25</v>
      </c>
      <c r="N356" s="5">
        <v>13.25</v>
      </c>
      <c r="O356" s="11">
        <v>6.6</v>
      </c>
      <c r="P356" s="11">
        <v>1.2</v>
      </c>
      <c r="Q356" s="37"/>
      <c r="R356" s="36"/>
      <c r="S356" s="36"/>
      <c r="T356" s="38">
        <f>IF(S356&gt;0,1.048,IF(R356&gt;0,1.048,IF(Q356&gt;0,1.036,0.907+1.55*(P356/N356)-4.449*(P356/N356)^2)))</f>
        <v>1.010885738697045</v>
      </c>
      <c r="U356" s="39">
        <v>7500</v>
      </c>
      <c r="V356" s="40">
        <f>IF(H356="x",75+U356,IF(M356&lt;6.66,150+U356,-1.7384*M356^2+92.38*M356-388+U356))</f>
        <v>8030.837149999999</v>
      </c>
      <c r="W356" s="5"/>
      <c r="X356" s="5"/>
      <c r="Y356" s="5"/>
      <c r="Z356" s="5"/>
      <c r="AA356" s="5"/>
      <c r="AB356" s="5"/>
      <c r="AC356" s="5"/>
      <c r="AD356" s="33">
        <v>55</v>
      </c>
      <c r="AE356" s="5">
        <f>IF(AD356=0,(W356+4*X356+2*Y356+4*Z356+AA356)*AC356/12+W356*AB356/1.5,AD356)</f>
        <v>55</v>
      </c>
      <c r="AF356" s="11">
        <v>16.6</v>
      </c>
      <c r="AG356" s="11"/>
      <c r="AH356" s="5">
        <f>IF(AC356=0,AE356+AF356*AG356/2,AE356+AC356*AG356/2)</f>
        <v>55</v>
      </c>
      <c r="AI356" s="3"/>
      <c r="AJ356" s="3"/>
      <c r="AK356" s="33">
        <v>35</v>
      </c>
      <c r="AL356" s="5">
        <f>IF(AK356=0,AI356*AJ356/2,AK356)</f>
        <v>35</v>
      </c>
      <c r="AM356" s="3"/>
      <c r="AN356" s="5"/>
      <c r="AO356" s="5"/>
      <c r="AP356" s="5">
        <f>AL356+AI356*(AN356-AO356)/2</f>
        <v>35</v>
      </c>
      <c r="AQ356" s="5">
        <f>0.1*(AE356+AL356)</f>
        <v>9</v>
      </c>
      <c r="AR356" s="11">
        <v>17.6</v>
      </c>
      <c r="AS356" s="11"/>
      <c r="AT356" s="11"/>
      <c r="AU356" s="11"/>
      <c r="AV356" s="33"/>
      <c r="AW356" s="5">
        <f>IF(AV356=0,AS356/6*(AT356+AU356*4),AV356)</f>
        <v>0</v>
      </c>
      <c r="AX356" s="11"/>
      <c r="AY356" s="5">
        <f>IF(AX356&lt;0.149*M356+0.329,1,AX356/(0.149*M356+0.329))</f>
        <v>1</v>
      </c>
      <c r="AZ356" s="5">
        <f>IF(AW356*AY356&gt;AL356,(AW356*AY356-AL356)/4,0)</f>
        <v>0</v>
      </c>
      <c r="BA356" s="12">
        <f>0.401+0.1831*(2*AR356^2/(AH356+AP356+AZ356))-0.02016*(2*AR356^2/(AH356+AP356+AZ356))^2+0.0007472*(2*AR356^2/(AH356+AP356+AZ356))^3</f>
        <v>0.9498420571584122</v>
      </c>
      <c r="BB356" s="3"/>
      <c r="BC356" s="3"/>
      <c r="BD356" s="3"/>
      <c r="BE356" s="3"/>
      <c r="BF356" s="33">
        <v>108</v>
      </c>
      <c r="BG356" s="5">
        <f>IF(BF356=0,(BC356+BD356)*(BB356/12+BE356/3),BF356)</f>
        <v>108</v>
      </c>
      <c r="BH356" s="5">
        <f>IF(BG356*AY356&gt;AL356+AZ356,BG356*AY356-AL356-AZ356,0)</f>
        <v>73</v>
      </c>
      <c r="BI356" s="42">
        <f>IF(M356/1.6&lt;8,ROUND(M356/1.6,0),8)</f>
        <v>8</v>
      </c>
      <c r="BJ356" s="5">
        <f>(AH356+AP356+AZ356)*BA356+0.1*BH356</f>
        <v>92.78578514425709</v>
      </c>
      <c r="BK356" s="11">
        <v>1.95</v>
      </c>
      <c r="BL356" s="5">
        <f>M356*0.2</f>
        <v>2.65</v>
      </c>
      <c r="BM356" s="5">
        <f>ROUNDDOWN(M356/2.13,0)</f>
        <v>6</v>
      </c>
      <c r="BN356" s="12">
        <f>M356/4.26</f>
        <v>3.110328638497653</v>
      </c>
      <c r="BO356" s="5">
        <f>IF(M356&lt;8,1.22,IF(M356&lt;15.2,0.108333*M356+0.353,2))</f>
        <v>1.78841225</v>
      </c>
      <c r="BP356" s="12">
        <f>IF(BK356&lt;BO356,1+0.3*(BO356-BK356)/M356,1)</f>
        <v>1</v>
      </c>
      <c r="BQ356" s="39">
        <v>8</v>
      </c>
      <c r="BR356" s="39">
        <v>2</v>
      </c>
      <c r="BS356" s="36"/>
      <c r="BT356" s="36"/>
      <c r="BU356" t="s" s="24">
        <v>154</v>
      </c>
      <c r="BV356" s="5">
        <f>IF(BQ356&lt;(M356/0.3048)^0.5,1,IF(BU356="x",1-BR356*0.02,IF(BT356="x",1-BR356*0.01,1)))</f>
        <v>0.96</v>
      </c>
      <c r="BW356" s="12">
        <f>IF(K356="x",MIN(1.315,1.28+U356*N356/BJ356/AR356/1100),IF(L356="x",1.28,MAX(1.245,1.28-U356*N356/BJ356/AR356/1100)))</f>
        <v>1.245</v>
      </c>
      <c r="BX356" s="41">
        <f>BW356*T356*BV356*BP356*N356^0.3*BJ356^0.4/V356^0.325</f>
        <v>0.8644755809653537</v>
      </c>
      <c r="BY356" s="29"/>
      <c r="BZ356" s="29"/>
      <c r="CA356" t="s" s="19">
        <v>1956</v>
      </c>
      <c r="CB356" t="s" s="19">
        <v>1957</v>
      </c>
      <c r="CC356" t="s" s="19">
        <v>164</v>
      </c>
      <c r="CD356" t="s" s="19">
        <v>1036</v>
      </c>
      <c r="CE356" s="3"/>
      <c r="CF356" s="3"/>
      <c r="CG356" s="95">
        <f>A356</f>
      </c>
    </row>
    <row r="357" ht="12.75" customHeight="1">
      <c r="A357" s="94"/>
      <c r="B357" t="s" s="93">
        <v>1986</v>
      </c>
      <c r="C357" t="s" s="19">
        <v>333</v>
      </c>
      <c r="D357" t="s" s="19">
        <v>266</v>
      </c>
      <c r="E357" s="3"/>
      <c r="F357" s="3"/>
      <c r="G357" s="3"/>
      <c r="H357" s="32"/>
      <c r="I357" s="32"/>
      <c r="J357" t="s" s="24">
        <v>154</v>
      </c>
      <c r="K357" s="36"/>
      <c r="L357" s="36"/>
      <c r="M357" s="11">
        <v>14.5</v>
      </c>
      <c r="N357" s="5">
        <v>14.5</v>
      </c>
      <c r="O357" s="11">
        <v>7.6</v>
      </c>
      <c r="P357" s="11">
        <v>1.2</v>
      </c>
      <c r="Q357" s="37"/>
      <c r="R357" s="36"/>
      <c r="S357" s="36"/>
      <c r="T357" s="38">
        <f>IF(S357&gt;0,1.048,IF(R357&gt;0,1.048,IF(Q357&gt;0,1.036,0.907+1.55*(P357/N357)-4.449*(P357/N357)^2)))</f>
        <v>1.004804708680143</v>
      </c>
      <c r="U357" s="39">
        <v>11230</v>
      </c>
      <c r="V357" s="40">
        <f>IF(H357="x",75+U357,IF(M357&lt;6.66,150+U357,-1.7384*M357^2+92.38*M357-388+U357))</f>
        <v>11816.0114</v>
      </c>
      <c r="W357" s="5"/>
      <c r="X357" s="5"/>
      <c r="Y357" s="5"/>
      <c r="Z357" s="5"/>
      <c r="AA357" s="5"/>
      <c r="AB357" s="5"/>
      <c r="AC357" s="5"/>
      <c r="AD357" s="33">
        <v>81</v>
      </c>
      <c r="AE357" s="5">
        <f>IF(AD357=0,(W357+4*X357+2*Y357+4*Z357+AA357)*AC357/12+W357*AB357/1.5,AD357)</f>
        <v>81</v>
      </c>
      <c r="AF357" s="11">
        <v>17.9</v>
      </c>
      <c r="AG357" s="11"/>
      <c r="AH357" s="5">
        <f>IF(AC357=0,AE357+AF357*AG357/2,AE357+AC357*AG357/2)</f>
        <v>81</v>
      </c>
      <c r="AI357" s="3"/>
      <c r="AJ357" s="3"/>
      <c r="AK357" s="33">
        <v>35</v>
      </c>
      <c r="AL357" s="5">
        <f>IF(AK357=0,AI357*AJ357/2,AK357)</f>
        <v>35</v>
      </c>
      <c r="AM357" s="3"/>
      <c r="AN357" s="5"/>
      <c r="AO357" s="5"/>
      <c r="AP357" s="5">
        <f>AL357+AI357*(AN357-AO357)/2</f>
        <v>35</v>
      </c>
      <c r="AQ357" s="5">
        <f>0.1*(AE357+AL357)</f>
        <v>11.6</v>
      </c>
      <c r="AR357" s="11">
        <v>17.9</v>
      </c>
      <c r="AS357" s="11"/>
      <c r="AT357" s="11"/>
      <c r="AU357" s="11"/>
      <c r="AV357" s="33">
        <v>88</v>
      </c>
      <c r="AW357" s="5">
        <f>IF(AV357=0,AS357/6*(AT357+AU357*4),AV357)</f>
        <v>88</v>
      </c>
      <c r="AX357" s="11">
        <v>1.25</v>
      </c>
      <c r="AY357" s="5">
        <f>IF(AX357&lt;0.149*M357+0.329,1,AX357/(0.149*M357+0.329))</f>
        <v>1</v>
      </c>
      <c r="AZ357" s="5">
        <f>IF(AW357*AY357&gt;AL357,(AW357*AY357-AL357)/4,0)</f>
        <v>13.25</v>
      </c>
      <c r="BA357" s="12">
        <f>0.401+0.1831*(2*AR357^2/(AH357+AP357+AZ357))-0.02016*(2*AR357^2/(AH357+AP357+AZ357))^2+0.0007472*(2*AR357^2/(AH357+AP357+AZ357))^3</f>
        <v>0.9043070288721253</v>
      </c>
      <c r="BB357" s="3"/>
      <c r="BC357" s="3"/>
      <c r="BD357" s="3"/>
      <c r="BE357" s="3"/>
      <c r="BF357" s="33"/>
      <c r="BG357" s="5">
        <f>IF(BF357=0,(BC357+BD357)*(BB357/12+BE357/3),BF357)</f>
        <v>0</v>
      </c>
      <c r="BH357" s="5">
        <f>IF(BG357*AY357&gt;AL357+AZ357,BG357*AY357-AL357-AZ357,0)</f>
        <v>0</v>
      </c>
      <c r="BI357" s="42">
        <f>IF(M357/1.6&lt;8,ROUND(M357/1.6,0),8)</f>
        <v>8</v>
      </c>
      <c r="BJ357" s="5">
        <f>(AH357+AP357+AZ357)*BA357+0.1*BH357</f>
        <v>116.8816834817222</v>
      </c>
      <c r="BK357" s="11">
        <v>1.95</v>
      </c>
      <c r="BL357" s="5">
        <f>M357*0.2</f>
        <v>2.9</v>
      </c>
      <c r="BM357" s="5">
        <f>ROUNDDOWN(M357/2.13,0)</f>
        <v>6</v>
      </c>
      <c r="BN357" s="12">
        <f>M357/4.26</f>
        <v>3.403755868544601</v>
      </c>
      <c r="BO357" s="5">
        <f>IF(M357&lt;8,1.22,IF(M357&lt;15.2,0.108333*M357+0.353,2))</f>
        <v>1.9238285</v>
      </c>
      <c r="BP357" s="12">
        <f>IF(BK357&lt;BO357,1+0.3*(BO357-BK357)/M357,1)</f>
        <v>1</v>
      </c>
      <c r="BQ357" s="39">
        <v>10</v>
      </c>
      <c r="BR357" s="39">
        <v>2</v>
      </c>
      <c r="BS357" s="36"/>
      <c r="BT357" s="36"/>
      <c r="BU357" t="s" s="24">
        <v>154</v>
      </c>
      <c r="BV357" s="5">
        <f>IF(BQ357&lt;(M357/0.3048)^0.5,1,IF(BU357="x",1-BR357*0.02,IF(BT357="x",1-BR357*0.01,1)))</f>
        <v>0.96</v>
      </c>
      <c r="BW357" s="12">
        <f>IF(K357="x",MIN(1.315,1.28+U357*N357/BJ357/AR357/1100),IF(L357="x",1.28,MAX(1.245,1.28-U357*N357/BJ357/AR357/1100)))</f>
        <v>1.245</v>
      </c>
      <c r="BX357" s="41">
        <f>BW357*T357*BV357*BP357*N357^0.3*BJ357^0.4/V357^0.325</f>
        <v>0.8540399512564356</v>
      </c>
      <c r="BY357" s="29"/>
      <c r="BZ357" s="29"/>
      <c r="CA357" t="s" s="19">
        <v>1956</v>
      </c>
      <c r="CB357" t="s" s="19">
        <v>1957</v>
      </c>
      <c r="CC357" t="s" s="19">
        <v>164</v>
      </c>
      <c r="CD357" t="s" s="19">
        <v>1958</v>
      </c>
      <c r="CE357" s="3"/>
      <c r="CF357" s="3"/>
      <c r="CG357" s="95">
        <f>A357</f>
      </c>
    </row>
    <row r="358" ht="12.75" customHeight="1">
      <c r="A358" s="94"/>
      <c r="B358" t="s" s="93">
        <v>332</v>
      </c>
      <c r="C358" t="s" s="19">
        <v>333</v>
      </c>
      <c r="D358" t="s" s="19">
        <v>334</v>
      </c>
      <c r="E358" s="3"/>
      <c r="F358" s="3"/>
      <c r="G358" s="3"/>
      <c r="H358" s="32"/>
      <c r="I358" s="32"/>
      <c r="J358" t="s" s="24">
        <v>154</v>
      </c>
      <c r="K358" s="36"/>
      <c r="L358" s="36"/>
      <c r="M358" s="11">
        <v>14.3</v>
      </c>
      <c r="N358" s="5">
        <v>14.3</v>
      </c>
      <c r="O358" s="11"/>
      <c r="P358" s="11">
        <v>1.2</v>
      </c>
      <c r="Q358" s="37"/>
      <c r="R358" s="36"/>
      <c r="S358" s="36"/>
      <c r="T358" s="38">
        <f>IF(S358&gt;0,1.048,IF(R358&gt;0,1.048,IF(Q358&gt;0,1.036,0.907+1.55*(P358/N358)-4.449*(P358/N358)^2)))</f>
        <v>1.00574047630691</v>
      </c>
      <c r="U358" s="39">
        <v>8500</v>
      </c>
      <c r="V358" s="40">
        <f>IF(H358="x",75+U358,IF(M358&lt;6.66,150+U358,-1.7384*M358^2+92.38*M358-388+U358))</f>
        <v>9077.548584</v>
      </c>
      <c r="W358" s="5"/>
      <c r="X358" s="5"/>
      <c r="Y358" s="5"/>
      <c r="Z358" s="5"/>
      <c r="AA358" s="5"/>
      <c r="AB358" s="5"/>
      <c r="AC358" s="5"/>
      <c r="AD358" s="33">
        <v>70.5</v>
      </c>
      <c r="AE358" s="5">
        <f>IF(AD358=0,(W358+4*X358+2*Y358+4*Z358+AA358)*AC358/12+W358*AB358/1.5,AD358)</f>
        <v>70.5</v>
      </c>
      <c r="AF358" s="11"/>
      <c r="AG358" s="11"/>
      <c r="AH358" s="5">
        <f>IF(AC358=0,AE358+AF358*AG358/2,AE358+AC358*AG358/2)</f>
        <v>70.5</v>
      </c>
      <c r="AI358" s="3"/>
      <c r="AJ358" s="3"/>
      <c r="AK358" s="33">
        <v>31</v>
      </c>
      <c r="AL358" s="5">
        <f>IF(AK358=0,AI358*AJ358/2,AK358)</f>
        <v>31</v>
      </c>
      <c r="AM358" s="3"/>
      <c r="AN358" s="5"/>
      <c r="AO358" s="5"/>
      <c r="AP358" s="5">
        <f>AL358+AI358*(AN358-AO358)/2</f>
        <v>31</v>
      </c>
      <c r="AQ358" s="5">
        <f>0.1*(AE358+AL358)</f>
        <v>10.15</v>
      </c>
      <c r="AR358" s="11">
        <v>19.75</v>
      </c>
      <c r="AS358" s="11"/>
      <c r="AT358" s="11"/>
      <c r="AU358" s="11"/>
      <c r="AV358" s="33"/>
      <c r="AW358" s="5">
        <f>IF(AV358=0,AS358/6*(AT358+AU358*4),AV358)</f>
        <v>0</v>
      </c>
      <c r="AX358" s="11"/>
      <c r="AY358" s="5">
        <f>IF(AX358&lt;0.149*M358+0.329,1,AX358/(0.149*M358+0.329))</f>
        <v>1</v>
      </c>
      <c r="AZ358" s="5">
        <f>IF(AW358*AY358&gt;AL358,(AW358*AY358-AL358)/4,0)</f>
        <v>0</v>
      </c>
      <c r="BA358" s="12">
        <f>0.401+0.1831*(2*AR358^2/(AH358+AP358+AZ358))-0.02016*(2*AR358^2/(AH358+AP358+AZ358))^2+0.0007472*(2*AR358^2/(AH358+AP358+AZ358))^3</f>
        <v>0.9566266991514811</v>
      </c>
      <c r="BB358" s="3"/>
      <c r="BC358" s="3"/>
      <c r="BD358" s="3"/>
      <c r="BE358" s="3"/>
      <c r="BF358" s="33">
        <v>134</v>
      </c>
      <c r="BG358" s="5">
        <f>IF(BF358=0,(BC358+BD358)*(BB358/12+BE358/3),BF358)</f>
        <v>134</v>
      </c>
      <c r="BH358" s="5">
        <f>IF(BG358*AY358&gt;AL358+AZ358,BG358*AY358-AL358-AZ358,0)</f>
        <v>103</v>
      </c>
      <c r="BI358" s="42">
        <f>IF(M358/1.6&lt;8,ROUND(M358/1.6,0),8)</f>
        <v>8</v>
      </c>
      <c r="BJ358" s="5">
        <f>(AH358+AP358+AZ358)*BA358+0.1*BH358</f>
        <v>107.3976099638753</v>
      </c>
      <c r="BK358" s="11">
        <v>2</v>
      </c>
      <c r="BL358" s="5">
        <f>M358*0.2</f>
        <v>2.86</v>
      </c>
      <c r="BM358" s="5">
        <f>ROUNDDOWN(M358/2.13,0)</f>
        <v>6</v>
      </c>
      <c r="BN358" s="12">
        <f>M358/4.26</f>
        <v>3.356807511737089</v>
      </c>
      <c r="BO358" s="5">
        <f>IF(M358&lt;8,1.22,IF(M358&lt;15.2,0.108333*M358+0.353,2))</f>
        <v>1.9021619</v>
      </c>
      <c r="BP358" s="12">
        <f>IF(BK358&lt;BO358,1+0.3*(BO358-BK358)/M358,1)</f>
        <v>1</v>
      </c>
      <c r="BQ358" s="39">
        <v>8</v>
      </c>
      <c r="BR358" s="39">
        <v>2</v>
      </c>
      <c r="BS358" s="36"/>
      <c r="BT358" t="s" s="24">
        <v>154</v>
      </c>
      <c r="BU358" s="36"/>
      <c r="BV358" s="5">
        <f>IF(BQ358&lt;(M358/0.3048)^0.5,1,IF(BU358="x",1-BR358*0.02,IF(BT358="x",1-BR358*0.01,1)))</f>
        <v>0.98</v>
      </c>
      <c r="BW358" s="12">
        <f>IF(K358="x",MIN(1.315,1.28+U358*N358/BJ358/AR358/1100),IF(L358="x",1.28,MAX(1.245,1.28-U358*N358/BJ358/AR358/1100)))</f>
        <v>1.245</v>
      </c>
      <c r="BX358" s="41">
        <f>BW358*T358*BV358*BP358*N358^0.3*BJ358^0.4/V358^0.325</f>
        <v>0.9152510265483546</v>
      </c>
      <c r="BY358" s="29"/>
      <c r="BZ358" s="29"/>
      <c r="CA358" t="s" s="19">
        <v>162</v>
      </c>
      <c r="CB358" t="s" s="19">
        <v>711</v>
      </c>
      <c r="CC358" t="s" s="19">
        <v>164</v>
      </c>
      <c r="CD358" t="s" s="19">
        <v>1334</v>
      </c>
      <c r="CE358" s="3"/>
      <c r="CF358" s="3"/>
      <c r="CG358" s="95">
        <f>A358</f>
      </c>
    </row>
    <row r="359" ht="12.75" customHeight="1">
      <c r="A359" s="94"/>
      <c r="B359" t="s" s="93">
        <v>1987</v>
      </c>
      <c r="C359" t="s" s="19">
        <v>304</v>
      </c>
      <c r="D359" t="s" s="19">
        <v>1988</v>
      </c>
      <c r="E359" s="3"/>
      <c r="F359" s="3"/>
      <c r="G359" s="3"/>
      <c r="H359" s="32"/>
      <c r="I359" s="32"/>
      <c r="J359" t="s" s="24">
        <v>154</v>
      </c>
      <c r="K359" s="36"/>
      <c r="L359" s="36"/>
      <c r="M359" s="11">
        <v>25</v>
      </c>
      <c r="N359" s="5">
        <v>25</v>
      </c>
      <c r="O359" s="11">
        <v>12</v>
      </c>
      <c r="P359" s="11">
        <v>1.4</v>
      </c>
      <c r="Q359" s="37"/>
      <c r="R359" s="36"/>
      <c r="S359" s="36"/>
      <c r="T359" s="38">
        <f>IF(S359&gt;0,1.048,IF(R359&gt;0,1.048,IF(Q359&gt;0,1.036,0.907+1.55*(P359/N359)-4.449*(P359/N359)^2)))</f>
        <v>0.979847936</v>
      </c>
      <c r="U359" s="39">
        <v>23000</v>
      </c>
      <c r="V359" s="40">
        <f>IF(H359="x",75+U359,IF(M359&lt;6.66,150+U359,-1.7384*M359^2+92.38*M359-388+U359))</f>
        <v>23835</v>
      </c>
      <c r="W359" s="5"/>
      <c r="X359" s="5"/>
      <c r="Y359" s="5"/>
      <c r="Z359" s="5"/>
      <c r="AA359" s="5"/>
      <c r="AB359" s="5"/>
      <c r="AC359" s="5"/>
      <c r="AD359" s="33">
        <v>170</v>
      </c>
      <c r="AE359" s="5">
        <f>IF(AD359=0,(W359+4*X359+2*Y359+4*Z359+AA359)*AC359/12+W359*AB359/1.5,AD359)</f>
        <v>170</v>
      </c>
      <c r="AF359" s="11"/>
      <c r="AG359" s="11"/>
      <c r="AH359" s="5">
        <f>IF(AC359=0,AE359+AF359*AG359/2,AE359+AC359*AG359/2)</f>
        <v>170</v>
      </c>
      <c r="AI359" s="3"/>
      <c r="AJ359" s="3"/>
      <c r="AK359" s="33">
        <v>82</v>
      </c>
      <c r="AL359" s="5">
        <f>IF(AK359=0,AI359*AJ359/2,AK359)</f>
        <v>82</v>
      </c>
      <c r="AM359" s="3"/>
      <c r="AN359" s="5"/>
      <c r="AO359" s="5"/>
      <c r="AP359" s="5">
        <f>AL359+AI359*(AN359-AO359)/2</f>
        <v>82</v>
      </c>
      <c r="AQ359" s="5">
        <f>0.1*(AE359+AL359)</f>
        <v>25.2</v>
      </c>
      <c r="AR359" s="11">
        <v>26.6</v>
      </c>
      <c r="AS359" s="11"/>
      <c r="AT359" s="11"/>
      <c r="AU359" s="11"/>
      <c r="AV359" s="33"/>
      <c r="AW359" s="5">
        <f>IF(AV359=0,AS359/6*(AT359+AU359*4),AV359)</f>
        <v>0</v>
      </c>
      <c r="AX359" s="11">
        <v>0</v>
      </c>
      <c r="AY359" s="5">
        <f>IF(AX359&lt;0.149*M359+0.329,1,AX359/(0.149*M359+0.329))</f>
        <v>1</v>
      </c>
      <c r="AZ359" s="5">
        <f>IF(AW359*AY359&gt;AL359,(AW359*AY359-AL359)/4,0)</f>
        <v>0</v>
      </c>
      <c r="BA359" s="12">
        <f>0.401+0.1831*(2*AR359^2/(AH359+AP359+AZ359))-0.02016*(2*AR359^2/(AH359+AP359+AZ359))^2+0.0007472*(2*AR359^2/(AH359+AP359+AZ359))^3</f>
        <v>0.9257902418122097</v>
      </c>
      <c r="BB359" s="3"/>
      <c r="BC359" s="3"/>
      <c r="BD359" s="3"/>
      <c r="BE359" s="3"/>
      <c r="BF359" s="33">
        <v>206</v>
      </c>
      <c r="BG359" s="5">
        <f>IF(BF359=0,(BC359+BD359)*(BB359/12+BE359/3),BF359)</f>
        <v>206</v>
      </c>
      <c r="BH359" s="5">
        <f>IF(BG359*AY359&gt;AL359+AZ359,BG359*AY359-AL359-AZ359,0)</f>
        <v>124</v>
      </c>
      <c r="BI359" s="42">
        <f>IF(M359/1.6&lt;8,ROUND(M359/1.6,0),8)</f>
        <v>8</v>
      </c>
      <c r="BJ359" s="5">
        <f>(AH359+AP359+AZ359)*BA359+0.1*BH359</f>
        <v>245.6991409366769</v>
      </c>
      <c r="BK359" s="11">
        <v>2</v>
      </c>
      <c r="BL359" s="5">
        <f>M359*0.2</f>
        <v>5</v>
      </c>
      <c r="BM359" s="5">
        <f>ROUNDDOWN(M359/2.13,0)</f>
        <v>11</v>
      </c>
      <c r="BN359" s="12">
        <f>M359/4.26</f>
        <v>5.868544600938967</v>
      </c>
      <c r="BO359" s="5">
        <f>IF(M359&lt;8,1.22,IF(M359&lt;15.2,0.108333*M359+0.353,2))</f>
        <v>2</v>
      </c>
      <c r="BP359" s="12">
        <f>IF(BK359&lt;BO359,1+0.3*(BO359-BK359)/M359,1)</f>
        <v>1</v>
      </c>
      <c r="BQ359" s="39">
        <v>12</v>
      </c>
      <c r="BR359" s="39">
        <v>2</v>
      </c>
      <c r="BS359" s="36"/>
      <c r="BT359" s="36"/>
      <c r="BU359" t="s" s="24">
        <v>154</v>
      </c>
      <c r="BV359" s="5">
        <f>IF(BQ359&lt;(M359/0.3048)^0.5,1,IF(BU359="x",1-BR359*0.02,IF(BT359="x",1-BR359*0.01,1)))</f>
        <v>0.96</v>
      </c>
      <c r="BW359" s="12">
        <f>IF(K359="x",MIN(1.315,1.28+U359*N359/BJ359/AR359/1100),IF(L359="x",1.28,MAX(1.245,1.28-U359*N359/BJ359/AR359/1100)))</f>
        <v>1.245</v>
      </c>
      <c r="BX359" s="41">
        <f>BW359*T359*BV359*BP359*N359^0.3*BJ359^0.4/V359^0.325</f>
        <v>1.050867107379004</v>
      </c>
      <c r="BY359" s="29"/>
      <c r="BZ359" s="29"/>
      <c r="CA359" t="s" s="19">
        <v>213</v>
      </c>
      <c r="CB359" t="s" s="19">
        <v>856</v>
      </c>
      <c r="CC359" t="s" s="19">
        <v>1989</v>
      </c>
      <c r="CD359" t="s" s="19">
        <v>1990</v>
      </c>
      <c r="CE359" s="3"/>
      <c r="CF359" s="3"/>
      <c r="CG359" s="95">
        <f>A359</f>
      </c>
    </row>
    <row r="360" ht="12.75" customHeight="1">
      <c r="A360" s="94"/>
      <c r="B360" t="s" s="93">
        <v>325</v>
      </c>
      <c r="C360" t="s" s="19">
        <v>184</v>
      </c>
      <c r="D360" s="3"/>
      <c r="E360" s="3"/>
      <c r="F360" s="3"/>
      <c r="G360" s="3"/>
      <c r="H360" s="32"/>
      <c r="I360" s="32"/>
      <c r="J360" t="s" s="24">
        <v>154</v>
      </c>
      <c r="K360" s="36"/>
      <c r="L360" s="36"/>
      <c r="M360" s="11">
        <v>16.78</v>
      </c>
      <c r="N360" s="5">
        <v>16.34</v>
      </c>
      <c r="O360" s="11"/>
      <c r="P360" s="11"/>
      <c r="Q360" s="37"/>
      <c r="R360" t="s" s="24">
        <v>161</v>
      </c>
      <c r="S360" s="36"/>
      <c r="T360" s="38">
        <f>IF(S360&gt;0,1.048,IF(R360&gt;0,1.048,IF(Q360&gt;0,1.036,0.907+1.55*(P360/N360)-4.449*(P360/N360)^2)))</f>
        <v>1.048</v>
      </c>
      <c r="U360" s="39">
        <v>3800</v>
      </c>
      <c r="V360" s="40">
        <f>IF(H360="x",75+U360,IF(M360&lt;6.66,150+U360,-1.7384*M360^2+92.38*M360-388+U360))</f>
        <v>4472.65789344</v>
      </c>
      <c r="W360" s="5"/>
      <c r="X360" s="5"/>
      <c r="Y360" s="5"/>
      <c r="Z360" s="5"/>
      <c r="AA360" s="5"/>
      <c r="AB360" s="5"/>
      <c r="AC360" s="5"/>
      <c r="AD360" s="33">
        <v>110</v>
      </c>
      <c r="AE360" s="5">
        <f>IF(AD360=0,(W360+4*X360+2*Y360+4*Z360+AA360)*AC360/12+W360*AB360/1.5,AD360)</f>
        <v>110</v>
      </c>
      <c r="AF360" s="11">
        <v>22</v>
      </c>
      <c r="AG360" s="11"/>
      <c r="AH360" s="5">
        <f>IF(AC360=0,AE360+AF360*AG360/2,AE360+AC360*AG360/2)</f>
        <v>110</v>
      </c>
      <c r="AI360" s="3"/>
      <c r="AJ360" s="3"/>
      <c r="AK360" s="33">
        <v>35</v>
      </c>
      <c r="AL360" s="5">
        <f>IF(AK360=0,AI360*AJ360/2,AK360)</f>
        <v>35</v>
      </c>
      <c r="AM360" s="3"/>
      <c r="AN360" s="5"/>
      <c r="AO360" s="5"/>
      <c r="AP360" s="5">
        <f>AL360+AI360*(AN360-AO360)/2</f>
        <v>35</v>
      </c>
      <c r="AQ360" s="5">
        <f>0.1*(AE360+AL360)</f>
        <v>14.5</v>
      </c>
      <c r="AR360" s="11">
        <v>22</v>
      </c>
      <c r="AS360" s="11"/>
      <c r="AT360" s="11"/>
      <c r="AU360" s="11"/>
      <c r="AV360" s="33"/>
      <c r="AW360" s="5">
        <f>IF(AV360=0,AS360/6*(AT360+AU360*4),AV360)</f>
        <v>0</v>
      </c>
      <c r="AX360" s="11"/>
      <c r="AY360" s="5">
        <f>IF(AX360&lt;0.149*M360+0.329,1,AX360/(0.149*M360+0.329))</f>
        <v>1</v>
      </c>
      <c r="AZ360" s="5">
        <f>IF(AW360*AY360&gt;AL360,(AW360*AY360-AL360)/4,0)</f>
        <v>0</v>
      </c>
      <c r="BA360" s="12">
        <f>0.401+0.1831*(2*AR360^2/(AH360+AP360+AZ360))-0.02016*(2*AR360^2/(AH360+AP360+AZ360))^2+0.0007472*(2*AR360^2/(AH360+AP360+AZ360))^3</f>
        <v>0.9471868801018164</v>
      </c>
      <c r="BB360" s="3"/>
      <c r="BC360" s="3"/>
      <c r="BD360" s="3"/>
      <c r="BE360" s="3"/>
      <c r="BF360" s="33">
        <v>174</v>
      </c>
      <c r="BG360" s="5">
        <f>IF(BF360=0,(BC360+BD360)*(BB360/12+BE360/3),BF360)</f>
        <v>174</v>
      </c>
      <c r="BH360" s="5">
        <f>IF(BG360*AY360&gt;AL360+AZ360,BG360*AY360-AL360-AZ360,0)</f>
        <v>139</v>
      </c>
      <c r="BI360" s="42">
        <f>IF(M360/1.6&lt;8,ROUND(M360/1.6,0),8)</f>
        <v>8</v>
      </c>
      <c r="BJ360" s="5">
        <f>(AH360+AP360+AZ360)*BA360+0.1*BH360</f>
        <v>151.2420976147634</v>
      </c>
      <c r="BK360" s="11">
        <v>1.5</v>
      </c>
      <c r="BL360" s="5">
        <f>M360*0.2</f>
        <v>3.356</v>
      </c>
      <c r="BM360" s="5">
        <f>ROUNDDOWN(M360/2.13,0)</f>
        <v>7</v>
      </c>
      <c r="BN360" s="12">
        <f>M360/4.26</f>
        <v>3.938967136150235</v>
      </c>
      <c r="BO360" s="5">
        <f>IF(M360&lt;8,1.22,IF(M360&lt;15.2,0.108333*M360+0.353,2))</f>
        <v>2</v>
      </c>
      <c r="BP360" s="12">
        <f>IF(BK360&lt;BO360,1+0.3*(BO360-BK360)/M360,1)</f>
        <v>1.008939213349225</v>
      </c>
      <c r="BQ360" s="32"/>
      <c r="BR360" s="32"/>
      <c r="BS360" t="s" s="24">
        <v>154</v>
      </c>
      <c r="BT360" s="36"/>
      <c r="BU360" s="36"/>
      <c r="BV360" s="5">
        <f>IF(BQ360&lt;(M360/0.3048)^0.5,1,IF(BU360="x",1-BR360*0.02,IF(BT360="x",1-BR360*0.01,1)))</f>
        <v>1</v>
      </c>
      <c r="BW360" s="12">
        <f>IF(K360="x",MIN(1.315,1.28+U360*N360/BJ360/AR360/1100),IF(L360="x",1.28,MAX(1.245,1.28-U360*N360/BJ360/AR360/1100)))</f>
        <v>1.263035245051266</v>
      </c>
      <c r="BX360" s="41">
        <f>BW360*T360*BV360*BP360*N360^0.3*BJ360^0.4/V360^0.325</f>
        <v>1.496416885715772</v>
      </c>
      <c r="BY360" s="29"/>
      <c r="BZ360" s="29"/>
      <c r="CA360" t="s" s="19">
        <v>1962</v>
      </c>
      <c r="CB360" t="s" s="19">
        <v>582</v>
      </c>
      <c r="CC360" t="s" s="19">
        <v>180</v>
      </c>
      <c r="CD360" s="3"/>
      <c r="CE360" s="3"/>
      <c r="CF360" s="3"/>
      <c r="CG360" s="95">
        <f>A360</f>
      </c>
    </row>
    <row r="361" ht="12.75" customHeight="1">
      <c r="A361" s="94"/>
      <c r="B361" t="s" s="93">
        <v>1991</v>
      </c>
      <c r="C361" t="s" s="19">
        <v>158</v>
      </c>
      <c r="D361" t="s" s="19">
        <v>159</v>
      </c>
      <c r="E361" s="3"/>
      <c r="F361" s="3"/>
      <c r="G361" s="3"/>
      <c r="H361" s="32"/>
      <c r="I361" s="32"/>
      <c r="J361" t="s" s="24">
        <v>154</v>
      </c>
      <c r="K361" s="36"/>
      <c r="L361" s="36"/>
      <c r="M361" s="11">
        <v>16.3</v>
      </c>
      <c r="N361" s="5">
        <v>16.3</v>
      </c>
      <c r="O361" s="11"/>
      <c r="P361" s="11"/>
      <c r="Q361" s="37"/>
      <c r="R361" t="s" s="24">
        <v>161</v>
      </c>
      <c r="S361" s="36"/>
      <c r="T361" s="38">
        <f>IF(S361&gt;0,1.048,IF(R361&gt;0,1.048,IF(Q361&gt;0,1.036,0.907+1.55*(P361/N361)-4.449*(P361/N361)^2)))</f>
        <v>1.048</v>
      </c>
      <c r="U361" s="39">
        <v>8500</v>
      </c>
      <c r="V361" s="40">
        <f>IF(H361="x",75+U361,IF(M361&lt;6.66,150+U361,-1.7384*M361^2+92.38*M361-388+U361))</f>
        <v>9155.918504000001</v>
      </c>
      <c r="W361" s="5"/>
      <c r="X361" s="5"/>
      <c r="Y361" s="5"/>
      <c r="Z361" s="5"/>
      <c r="AA361" s="5"/>
      <c r="AB361" s="5"/>
      <c r="AC361" s="5">
        <v>18</v>
      </c>
      <c r="AD361" s="33">
        <v>78</v>
      </c>
      <c r="AE361" s="5">
        <f>IF(AD361=0,(W361+4*X361+2*Y361+4*Z361+AA361)*AC361/12+W361*AB361/1.5,AD361)</f>
        <v>78</v>
      </c>
      <c r="AF361" s="11"/>
      <c r="AG361" s="11"/>
      <c r="AH361" s="5">
        <f>IF(AC361=0,AE361+AF361*AG361/2,AE361+AC361*AG361/2)</f>
        <v>78</v>
      </c>
      <c r="AI361" s="3"/>
      <c r="AJ361" s="3"/>
      <c r="AK361" s="33">
        <v>56</v>
      </c>
      <c r="AL361" s="5">
        <f>IF(AK361=0,AI361*AJ361/2,AK361)</f>
        <v>56</v>
      </c>
      <c r="AM361" s="3"/>
      <c r="AN361" s="5"/>
      <c r="AO361" s="5"/>
      <c r="AP361" s="5">
        <f>AL361+AI361*(AN361-AO361)/2</f>
        <v>56</v>
      </c>
      <c r="AQ361" s="5">
        <f>0.1*(AE361+AL361)</f>
        <v>13.4</v>
      </c>
      <c r="AR361" s="11">
        <v>20.4</v>
      </c>
      <c r="AS361" s="11"/>
      <c r="AT361" s="11"/>
      <c r="AU361" s="11"/>
      <c r="AV361" s="33">
        <v>110</v>
      </c>
      <c r="AW361" s="5">
        <f>IF(AV361=0,AS361/6*(AT361+AU361*4),AV361)</f>
        <v>110</v>
      </c>
      <c r="AX361" s="11">
        <v>0.3</v>
      </c>
      <c r="AY361" s="5">
        <f>IF(AX361&lt;0.149*M361+0.329,1,AX361/(0.149*M361+0.329))</f>
        <v>1</v>
      </c>
      <c r="AZ361" s="5">
        <f>IF(AW361*AY361&gt;AL361,(AW361*AY361-AL361)/4,0)</f>
        <v>13.5</v>
      </c>
      <c r="BA361" s="12">
        <f>0.401+0.1831*(2*AR361^2/(AH361+AP361+AZ361))-0.02016*(2*AR361^2/(AH361+AP361+AZ361))^2+0.0007472*(2*AR361^2/(AH361+AP361+AZ361))^3</f>
        <v>0.9265315540781807</v>
      </c>
      <c r="BB361" s="3"/>
      <c r="BC361" s="3"/>
      <c r="BD361" s="3"/>
      <c r="BE361" s="3"/>
      <c r="BF361" s="33">
        <v>150</v>
      </c>
      <c r="BG361" s="5">
        <f>IF(BF361=0,(BC361+BD361)*(BB361/12+BE361/3),BF361)</f>
        <v>150</v>
      </c>
      <c r="BH361" s="5">
        <f>IF(BG361*AY361&gt;AL361+AZ361,BG361*AY361-AL361-AZ361,0)</f>
        <v>80.5</v>
      </c>
      <c r="BI361" s="42">
        <f>IF(M361/1.6&lt;8,ROUND(M361/1.6,0),8)</f>
        <v>8</v>
      </c>
      <c r="BJ361" s="5">
        <f>(AH361+AP361+AZ361)*BA361+0.1*BH361</f>
        <v>144.7134042265317</v>
      </c>
      <c r="BK361" s="11">
        <v>1.95</v>
      </c>
      <c r="BL361" s="5">
        <f>M361*0.2</f>
        <v>3.26</v>
      </c>
      <c r="BM361" s="5">
        <f>ROUNDDOWN(M361/2.13,0)</f>
        <v>7</v>
      </c>
      <c r="BN361" s="12">
        <f>M361/4.26</f>
        <v>3.826291079812207</v>
      </c>
      <c r="BO361" s="5">
        <f>IF(M361&lt;8,1.22,IF(M361&lt;15.2,0.108333*M361+0.353,2))</f>
        <v>2</v>
      </c>
      <c r="BP361" s="12">
        <f>IF(BK361&lt;BO361,1+0.3*(BO361-BK361)/M361,1)</f>
        <v>1.000920245398773</v>
      </c>
      <c r="BQ361" s="39">
        <v>13</v>
      </c>
      <c r="BR361" s="39">
        <v>2</v>
      </c>
      <c r="BS361" s="36"/>
      <c r="BT361" t="s" s="24">
        <v>154</v>
      </c>
      <c r="BU361" s="36"/>
      <c r="BV361" s="5">
        <f>IF(BQ361&lt;(M361/0.3048)^0.5,1,IF(BU361="x",1-BR361*0.02,IF(BT361="x",1-BR361*0.01,1)))</f>
        <v>0.98</v>
      </c>
      <c r="BW361" s="12">
        <f>IF(K361="x",MIN(1.315,1.28+U361*N361/BJ361/AR361/1100),IF(L361="x",1.28,MAX(1.245,1.28-U361*N361/BJ361/AR361/1100)))</f>
        <v>1.245</v>
      </c>
      <c r="BX361" s="41">
        <f>BW361*T361*BV361*BP361*N361^0.3*BJ361^0.4/V361^0.325</f>
        <v>1.115482715680751</v>
      </c>
      <c r="BY361" s="29"/>
      <c r="BZ361" s="29"/>
      <c r="CA361" t="s" s="19">
        <v>162</v>
      </c>
      <c r="CB361" s="42">
        <v>1997</v>
      </c>
      <c r="CC361" t="s" s="19">
        <v>164</v>
      </c>
      <c r="CD361" s="3"/>
      <c r="CE361" s="3"/>
      <c r="CF361" s="3"/>
      <c r="CG361" s="95">
        <f>A361</f>
      </c>
    </row>
    <row r="362" ht="12.75" customHeight="1">
      <c r="A362" s="94"/>
      <c r="B362" t="s" s="93">
        <v>1992</v>
      </c>
      <c r="C362" t="s" s="19">
        <v>1993</v>
      </c>
      <c r="D362" t="s" s="19">
        <v>1994</v>
      </c>
      <c r="E362" s="3"/>
      <c r="F362" s="3"/>
      <c r="G362" s="3"/>
      <c r="H362" s="32"/>
      <c r="I362" s="32"/>
      <c r="J362" t="s" s="24">
        <v>154</v>
      </c>
      <c r="K362" s="36"/>
      <c r="L362" s="36"/>
      <c r="M362" s="11">
        <v>13.45</v>
      </c>
      <c r="N362" s="5">
        <v>13.14</v>
      </c>
      <c r="O362" s="11">
        <v>7.2</v>
      </c>
      <c r="P362" s="11">
        <v>0.95</v>
      </c>
      <c r="Q362" s="37"/>
      <c r="R362" s="36"/>
      <c r="S362" s="36"/>
      <c r="T362" s="38">
        <f>IF(S362&gt;0,1.048,IF(R362&gt;0,1.048,IF(Q362&gt;0,1.036,0.907+1.55*(P362/N362)-4.449*(P362/N362)^2)))</f>
        <v>0.9958072687530841</v>
      </c>
      <c r="U362" s="39">
        <v>7500</v>
      </c>
      <c r="V362" s="40">
        <f>IF(H362="x",75+U362,IF(M362&lt;6.66,150+U362,-1.7384*M362^2+92.38*M362-388+U362))</f>
        <v>8040.030094</v>
      </c>
      <c r="W362" s="5"/>
      <c r="X362" s="5"/>
      <c r="Y362" s="5"/>
      <c r="Z362" s="5"/>
      <c r="AA362" s="5"/>
      <c r="AB362" s="5"/>
      <c r="AC362" s="5"/>
      <c r="AD362" s="33">
        <v>62.8</v>
      </c>
      <c r="AE362" s="5">
        <f>IF(AD362=0,(W362+4*X362+2*Y362+4*Z362+AA362)*AC362/12+W362*AB362/1.5,AD362)</f>
        <v>62.8</v>
      </c>
      <c r="AF362" s="11">
        <v>17.2</v>
      </c>
      <c r="AG362" s="11"/>
      <c r="AH362" s="5">
        <f>IF(AC362=0,AE362+AF362*AG362/2,AE362+AC362*AG362/2)</f>
        <v>62.8</v>
      </c>
      <c r="AI362" s="3"/>
      <c r="AJ362" s="3"/>
      <c r="AK362" s="33">
        <v>38.6</v>
      </c>
      <c r="AL362" s="5">
        <f>IF(AK362=0,AI362*AJ362/2,AK362)</f>
        <v>38.6</v>
      </c>
      <c r="AM362" s="3"/>
      <c r="AN362" s="5"/>
      <c r="AO362" s="5"/>
      <c r="AP362" s="5">
        <f>AL362+AI362*(AN362-AO362)/2</f>
        <v>38.6</v>
      </c>
      <c r="AQ362" s="5">
        <f>0.1*(AE362+AL362)</f>
        <v>10.14</v>
      </c>
      <c r="AR362" s="11">
        <v>17.2</v>
      </c>
      <c r="AS362" s="11"/>
      <c r="AT362" s="11"/>
      <c r="AU362" s="11"/>
      <c r="AV362" s="33"/>
      <c r="AW362" s="5">
        <f>IF(AV362=0,AS362/6*(AT362+AU362*4),AV362)</f>
        <v>0</v>
      </c>
      <c r="AX362" s="11"/>
      <c r="AY362" s="5">
        <f>IF(AX362&lt;0.149*M362+0.329,1,AX362/(0.149*M362+0.329))</f>
        <v>1</v>
      </c>
      <c r="AZ362" s="5">
        <f>IF(AW362*AY362&gt;AL362,(AW362*AY362-AL362)/4,0)</f>
        <v>0</v>
      </c>
      <c r="BA362" s="12">
        <f>0.401+0.1831*(2*AR362^2/(AH362+AP362+AZ362))-0.02016*(2*AR362^2/(AH362+AP362+AZ362))^2+0.0007472*(2*AR362^2/(AH362+AP362+AZ362))^3</f>
        <v>0.9314419689152693</v>
      </c>
      <c r="BB362" s="3"/>
      <c r="BC362" s="3"/>
      <c r="BD362" s="3"/>
      <c r="BE362" s="3"/>
      <c r="BF362" s="33">
        <v>90</v>
      </c>
      <c r="BG362" s="5">
        <f>IF(BF362=0,(BC362+BD362)*(BB362/12+BE362/3),BF362)</f>
        <v>90</v>
      </c>
      <c r="BH362" s="5">
        <f>IF(BG362*AY362&gt;AL362+AZ362,BG362*AY362-AL362-AZ362,0)</f>
        <v>51.4</v>
      </c>
      <c r="BI362" s="42">
        <f>IF(M362/1.6&lt;8,ROUND(M362/1.6,0),8)</f>
        <v>8</v>
      </c>
      <c r="BJ362" s="5">
        <f>(AH362+AP362+AZ362)*BA362+0.1*BH362</f>
        <v>99.58821564800832</v>
      </c>
      <c r="BK362" s="11">
        <v>2</v>
      </c>
      <c r="BL362" s="5">
        <f>M362*0.2</f>
        <v>2.69</v>
      </c>
      <c r="BM362" s="5">
        <f>ROUNDDOWN(M362/2.13,0)</f>
        <v>6</v>
      </c>
      <c r="BN362" s="12">
        <f>M362/4.26</f>
        <v>3.157276995305164</v>
      </c>
      <c r="BO362" s="5">
        <f>IF(M362&lt;8,1.22,IF(M362&lt;15.2,0.108333*M362+0.353,2))</f>
        <v>1.81007885</v>
      </c>
      <c r="BP362" s="12">
        <f>IF(BK362&lt;BO362,1+0.3*(BO362-BK362)/M362,1)</f>
        <v>1</v>
      </c>
      <c r="BQ362" s="39">
        <v>8</v>
      </c>
      <c r="BR362" s="39">
        <v>2</v>
      </c>
      <c r="BS362" s="36"/>
      <c r="BT362" s="36"/>
      <c r="BU362" t="s" s="24">
        <v>154</v>
      </c>
      <c r="BV362" s="5">
        <f>IF(BQ362&lt;(M362/0.3048)^0.5,1,IF(BU362="x",1-BR362*0.02,IF(BT362="x",1-BR362*0.01,1)))</f>
        <v>0.96</v>
      </c>
      <c r="BW362" s="12">
        <f>IF(K362="x",MIN(1.315,1.28+U362*N362/BJ362/AR362/1100),IF(L362="x",1.28,MAX(1.245,1.28-U362*N362/BJ362/AR362/1100)))</f>
        <v>1.245</v>
      </c>
      <c r="BX362" s="41">
        <f>BW362*T362*BV362*BP362*N362^0.3*BJ362^0.4/V362^0.325</f>
        <v>0.8735120940951525</v>
      </c>
      <c r="BY362" s="29"/>
      <c r="BZ362" s="29"/>
      <c r="CA362" t="s" s="19">
        <v>1962</v>
      </c>
      <c r="CB362" t="s" s="19">
        <v>582</v>
      </c>
      <c r="CC362" t="s" s="19">
        <v>1972</v>
      </c>
      <c r="CD362" s="3"/>
      <c r="CE362" s="3"/>
      <c r="CF362" s="3"/>
      <c r="CG362" s="95">
        <f>A362</f>
      </c>
    </row>
    <row r="363" ht="15" customHeight="1">
      <c r="A363" s="94"/>
      <c r="B363" t="s" s="93">
        <v>1995</v>
      </c>
      <c r="C363" t="s" s="101">
        <v>1996</v>
      </c>
      <c r="D363" t="s" s="101">
        <v>1997</v>
      </c>
      <c r="E363" s="3"/>
      <c r="F363" s="3"/>
      <c r="G363" s="3"/>
      <c r="H363" s="32"/>
      <c r="I363" s="32"/>
      <c r="J363" s="36"/>
      <c r="K363" t="s" s="24">
        <v>154</v>
      </c>
      <c r="L363" s="36"/>
      <c r="M363" s="11">
        <v>10.56</v>
      </c>
      <c r="N363" s="5">
        <v>10.56</v>
      </c>
      <c r="O363" s="11">
        <v>8.5</v>
      </c>
      <c r="P363" s="11"/>
      <c r="Q363" s="37">
        <v>1.5</v>
      </c>
      <c r="R363" t="s" s="24">
        <v>161</v>
      </c>
      <c r="S363" s="36"/>
      <c r="T363" s="38">
        <f>IF(S363&gt;0,1.048,IF(R363&gt;0,1.048,IF(Q363&gt;0,1.036,0.907+1.55*(P363/N363)-4.449*(P363/N363)^2)))</f>
        <v>1.048</v>
      </c>
      <c r="U363" s="39">
        <v>2800</v>
      </c>
      <c r="V363" s="40">
        <f>IF(H363="x",75+U363,IF(M363&lt;6.66,150+U363,-1.7384*M363^2+92.38*M363-388+U363))</f>
        <v>3193.67755776</v>
      </c>
      <c r="W363" s="5"/>
      <c r="X363" s="5"/>
      <c r="Y363" s="5"/>
      <c r="Z363" s="5"/>
      <c r="AA363" s="5"/>
      <c r="AB363" s="5"/>
      <c r="AC363" s="5">
        <v>16.3</v>
      </c>
      <c r="AD363" s="33">
        <v>60.1</v>
      </c>
      <c r="AE363" s="5">
        <f>IF(AD363=0,(W363+4*X363+2*Y363+4*Z363+AA363)*AC363/12+W363*AB363/1.5,AD363)</f>
        <v>60.1</v>
      </c>
      <c r="AF363" s="11">
        <v>16.5</v>
      </c>
      <c r="AG363" s="11"/>
      <c r="AH363" s="5">
        <f>IF(AC363=0,AE363+AF363*AG363/2,AE363+AC363*AG363/2)</f>
        <v>60.1</v>
      </c>
      <c r="AI363" s="3"/>
      <c r="AJ363" s="3"/>
      <c r="AK363" s="33">
        <v>28.9</v>
      </c>
      <c r="AL363" s="5">
        <f>IF(AK363=0,AI363*AJ363/2,AK363)</f>
        <v>28.9</v>
      </c>
      <c r="AM363" s="3"/>
      <c r="AN363" s="5"/>
      <c r="AO363" s="5"/>
      <c r="AP363" s="5">
        <f>AL363+AI363*(AN363-AO363)/2</f>
        <v>28.9</v>
      </c>
      <c r="AQ363" s="5">
        <f>0.1*(AE363+AL363)</f>
        <v>8.9</v>
      </c>
      <c r="AR363" s="11">
        <v>16.7</v>
      </c>
      <c r="AS363" s="11"/>
      <c r="AT363" s="11"/>
      <c r="AU363" s="11"/>
      <c r="AV363" s="33">
        <v>110</v>
      </c>
      <c r="AW363" s="5">
        <f>IF(AV363=0,AS363/6*(AT363+AU363*4),AV363)</f>
        <v>110</v>
      </c>
      <c r="AX363" s="11">
        <v>0</v>
      </c>
      <c r="AY363" s="5">
        <f>IF(AX363&lt;0.149*M363+0.329,1,AX363/(0.149*M363+0.329))</f>
        <v>1</v>
      </c>
      <c r="AZ363" s="5">
        <f>IF(AW363*AY363&gt;AL363,(AW363*AY363-AL363)/4,0)</f>
        <v>20.275</v>
      </c>
      <c r="BA363" s="12">
        <f>0.401+0.1831*(2*AR363^2/(AH363+AP363+AZ363))-0.02016*(2*AR363^2/(AH363+AP363+AZ363))^2+0.0007472*(2*AR363^2/(AH363+AP363+AZ363))^3</f>
        <v>0.9097213739261314</v>
      </c>
      <c r="BB363" s="3"/>
      <c r="BC363" s="3"/>
      <c r="BD363" s="3"/>
      <c r="BE363" s="3"/>
      <c r="BF363" s="33"/>
      <c r="BG363" s="5">
        <f>IF(BF363=0,(BC363+BD363)*(BB363/12+BE363/3),BF363)</f>
        <v>0</v>
      </c>
      <c r="BH363" s="5">
        <f>IF(BG363*AY363&gt;AL363+AZ363,BG363*AY363-AL363-AZ363,0)</f>
        <v>0</v>
      </c>
      <c r="BI363" s="42">
        <v>4</v>
      </c>
      <c r="BJ363" s="5">
        <f>(AH363+AP363+AZ363)*BA363+0.1*BH363</f>
        <v>99.40980313577802</v>
      </c>
      <c r="BK363" s="11">
        <v>1.9</v>
      </c>
      <c r="BL363" s="5">
        <f>M363*0.2</f>
        <v>2.112</v>
      </c>
      <c r="BM363" s="5">
        <f>ROUNDDOWN(M363/2.13,0)</f>
        <v>4</v>
      </c>
      <c r="BN363" s="12">
        <f>M363/4.26</f>
        <v>2.47887323943662</v>
      </c>
      <c r="BO363" s="5">
        <f>IF(M363&lt;8,1.22,IF(M363&lt;15.2,0.108333*M363+0.353,2))</f>
        <v>1.49699648</v>
      </c>
      <c r="BP363" s="12">
        <f>IF(BK363&lt;BO363,1+0.3*(BO363-BK363)/M363,1)</f>
        <v>1</v>
      </c>
      <c r="BQ363" s="39">
        <v>8</v>
      </c>
      <c r="BR363" s="39">
        <v>1</v>
      </c>
      <c r="BS363" t="s" s="24">
        <v>154</v>
      </c>
      <c r="BT363" s="36"/>
      <c r="BU363" s="36"/>
      <c r="BV363" s="5">
        <f>IF(BQ363&lt;(M363/0.3048)^0.5,1,IF(BU363="x",1-BR363*0.02,IF(BT363="x",1-BR363*0.01,1)))</f>
        <v>1</v>
      </c>
      <c r="BW363" s="12">
        <f>IF(K363="x",MIN(1.315,1.28+U363*N363/BJ363/AR363/1100),IF(L363="x",1.28,MAX(1.245,1.28-U363*N363/BJ363/AR363/1100)))</f>
        <v>1.296191369337337</v>
      </c>
      <c r="BX363" s="41">
        <f>BW363*T363*BV363*BP363*N363^0.3*BJ363^0.4/V363^0.325</f>
        <v>1.259524652746275</v>
      </c>
      <c r="BY363" s="29"/>
      <c r="BZ363" s="29"/>
      <c r="CA363" t="s" s="19">
        <v>188</v>
      </c>
      <c r="CB363" s="3"/>
      <c r="CC363" t="s" s="19">
        <v>164</v>
      </c>
      <c r="CD363" s="3"/>
      <c r="CE363" s="3"/>
      <c r="CF363" s="3"/>
      <c r="CG363" s="95">
        <f>A363</f>
      </c>
    </row>
    <row r="364" ht="12.75" customHeight="1">
      <c r="A364" s="94"/>
      <c r="B364" t="s" s="96">
        <v>1998</v>
      </c>
      <c r="C364" s="102"/>
      <c r="D364" s="102"/>
      <c r="E364" s="102"/>
      <c r="F364" s="102"/>
      <c r="G364" s="102"/>
      <c r="H364" s="103"/>
      <c r="I364" s="103"/>
      <c r="J364" t="s" s="104">
        <v>154</v>
      </c>
      <c r="K364" s="105"/>
      <c r="L364" s="105"/>
      <c r="M364" s="106">
        <v>13.3</v>
      </c>
      <c r="N364" s="107">
        <v>13.05</v>
      </c>
      <c r="O364" s="106"/>
      <c r="P364" s="106">
        <v>1.25</v>
      </c>
      <c r="Q364" s="108"/>
      <c r="R364" s="105"/>
      <c r="S364" s="105"/>
      <c r="T364" s="109">
        <f>IF(S364&gt;0,1.048,IF(R364&gt;0,1.048,IF(Q364&gt;0,1.036,0.907+1.55*(P364/N364)-4.449*(P364/N364)^2)))</f>
        <v>1.014648522482054</v>
      </c>
      <c r="U364" s="110">
        <v>7000</v>
      </c>
      <c r="V364" s="111">
        <f>IF(H364="x",75+U364,IF(M364&lt;6.66,150+U364,-1.7384*M364^2+92.38*M364-388+U364))</f>
        <v>7533.148424</v>
      </c>
      <c r="W364" s="107"/>
      <c r="X364" s="107"/>
      <c r="Y364" s="107"/>
      <c r="Z364" s="107"/>
      <c r="AA364" s="107"/>
      <c r="AB364" s="107"/>
      <c r="AC364" s="107"/>
      <c r="AD364" s="112">
        <v>55</v>
      </c>
      <c r="AE364" s="107">
        <f>IF(AD364=0,(W364+4*X364+2*Y364+4*Z364+AA364)*AC364/12+W364*AB364/1.5,AD364)</f>
        <v>55</v>
      </c>
      <c r="AF364" s="106">
        <v>16.25</v>
      </c>
      <c r="AG364" s="106"/>
      <c r="AH364" s="107">
        <f>IF(AC364=0,AE364+AF364*AG364/2,AE364+AC364*AG364/2)</f>
        <v>55</v>
      </c>
      <c r="AI364" s="102"/>
      <c r="AJ364" s="102"/>
      <c r="AK364" s="112">
        <v>33</v>
      </c>
      <c r="AL364" s="107">
        <f>IF(AK364=0,AI364*AJ364/2,AK364)</f>
        <v>33</v>
      </c>
      <c r="AM364" s="102"/>
      <c r="AN364" s="107"/>
      <c r="AO364" s="107"/>
      <c r="AP364" s="107">
        <f>AL364+AI364*(AN364-AO364)/2</f>
        <v>33</v>
      </c>
      <c r="AQ364" s="107">
        <f>0.1*(AE364+AL364)</f>
        <v>8.800000000000001</v>
      </c>
      <c r="AR364" s="106">
        <v>18.5</v>
      </c>
      <c r="AS364" s="106"/>
      <c r="AT364" s="106"/>
      <c r="AU364" s="106"/>
      <c r="AV364" s="112"/>
      <c r="AW364" s="107">
        <f>IF(AV364=0,AS364/6*(AT364+AU364*4),AV364)</f>
        <v>0</v>
      </c>
      <c r="AX364" s="106"/>
      <c r="AY364" s="107">
        <f>IF(AX364&lt;0.149*M364+0.329,1,AX364/(0.149*M364+0.329))</f>
        <v>1</v>
      </c>
      <c r="AZ364" s="107">
        <f>IF(AW364*AY364&gt;AL364,(AW364*AY364-AL364)/4,0)</f>
        <v>0</v>
      </c>
      <c r="BA364" s="113">
        <f>0.401+0.1831*(2*AR364^2/(AH364+AP364+AZ364))-0.02016*(2*AR364^2/(AH364+AP364+AZ364))^2+0.0007472*(2*AR364^2/(AH364+AP364+AZ364))^3</f>
        <v>0.9571220133484575</v>
      </c>
      <c r="BB364" s="102"/>
      <c r="BC364" s="102"/>
      <c r="BD364" s="102"/>
      <c r="BE364" s="102"/>
      <c r="BF364" s="112">
        <v>106</v>
      </c>
      <c r="BG364" s="107">
        <f>IF(BF364=0,(BC364+BD364)*(BB364/12+BE364/3),BF364)</f>
        <v>106</v>
      </c>
      <c r="BH364" s="107">
        <f>IF(BG364*AY364&gt;AL364+AZ364,BG364*AY364-AL364-AZ364,0)</f>
        <v>73</v>
      </c>
      <c r="BI364" s="114">
        <f>IF(M364/1.6&lt;8,ROUND(M364/1.6,0),8)</f>
        <v>8</v>
      </c>
      <c r="BJ364" s="107">
        <f>(AH364+AP364+AZ364)*BA364+0.1*BH364</f>
        <v>91.52673717466426</v>
      </c>
      <c r="BK364" s="106">
        <v>2</v>
      </c>
      <c r="BL364" s="107">
        <f>M364*0.2</f>
        <v>2.66</v>
      </c>
      <c r="BM364" s="107">
        <f>ROUNDDOWN(M364/2.13,0)</f>
        <v>6</v>
      </c>
      <c r="BN364" s="113">
        <f>M364/4.26</f>
        <v>3.122065727699531</v>
      </c>
      <c r="BO364" s="107">
        <f>IF(M364&lt;8,1.22,IF(M364&lt;15.2,0.108333*M364+0.353,2))</f>
        <v>1.7938289</v>
      </c>
      <c r="BP364" s="113">
        <f>IF(BK364&lt;BO364,1+0.3*(BO364-BK364)/M364,1)</f>
        <v>1</v>
      </c>
      <c r="BQ364" s="110">
        <v>8</v>
      </c>
      <c r="BR364" s="110">
        <v>2</v>
      </c>
      <c r="BS364" s="105"/>
      <c r="BT364" s="105"/>
      <c r="BU364" t="s" s="104">
        <v>154</v>
      </c>
      <c r="BV364" s="107">
        <f>IF(BQ364&lt;(M364/0.3048)^0.5,1,IF(BU364="x",1-BR364*0.02,IF(BT364="x",1-BR364*0.01,1)))</f>
        <v>0.96</v>
      </c>
      <c r="BW364" s="113">
        <f>IF(K364="x",MIN(1.315,1.28+U364*N364/BJ364/AR364/1100),IF(L364="x",1.28,MAX(1.245,1.28-U364*N364/BJ364/AR364/1100)))</f>
        <v>1.245</v>
      </c>
      <c r="BX364" s="115">
        <f>BW364*T364*BV364*BP364*N364^0.3*BJ364^0.4/V364^0.325</f>
        <v>0.8770839969808181</v>
      </c>
      <c r="BY364" s="116"/>
      <c r="BZ364" s="117"/>
      <c r="CA364" t="s" s="118">
        <v>1962</v>
      </c>
      <c r="CB364" t="s" s="118">
        <v>582</v>
      </c>
      <c r="CC364" t="s" s="118">
        <v>1972</v>
      </c>
      <c r="CD364" s="102"/>
      <c r="CE364" s="102"/>
      <c r="CF364" s="102"/>
      <c r="CG364" s="119">
        <f>A364</f>
      </c>
    </row>
    <row r="365" ht="12.75" customHeight="1">
      <c r="A365" t="s" s="120">
        <v>1999</v>
      </c>
      <c r="B365" s="94"/>
      <c r="C365" s="94"/>
      <c r="D365" s="94"/>
      <c r="E365" s="94"/>
      <c r="F365" s="121"/>
      <c r="G365" s="121"/>
      <c r="H365" s="122"/>
      <c r="I365" s="122"/>
      <c r="J365" s="123"/>
      <c r="K365" s="123"/>
      <c r="L365" s="123"/>
      <c r="M365" s="124"/>
      <c r="N365" s="125"/>
      <c r="O365" s="124"/>
      <c r="P365" s="124"/>
      <c r="Q365" s="126"/>
      <c r="R365" s="123"/>
      <c r="S365" s="123"/>
      <c r="T365" s="127">
        <f>IF(S365&gt;0,1.048,IF(R365&gt;0,1.048,IF(Q365&gt;0,1.036,0.907+1.55*(P365/N365)-4.449*(P365/N365)^2)))</f>
      </c>
      <c r="U365" s="122"/>
      <c r="V365" s="128">
        <f>IF(H365="x",75+U365,IF(M365&lt;6.66,150+U365,-1.7384*M365^2+92.38*M365-388+U365))</f>
        <v>150</v>
      </c>
      <c r="W365" s="129"/>
      <c r="X365" s="129"/>
      <c r="Y365" s="129"/>
      <c r="Z365" s="129"/>
      <c r="AA365" s="129"/>
      <c r="AB365" s="129"/>
      <c r="AC365" s="129"/>
      <c r="AD365" s="130"/>
      <c r="AE365" s="131">
        <f>IF(AD365=0,(W365+4*X365+2*Y365+4*Z365+AA365)*AC365/12+W365*AB365/1.5,AD365)</f>
        <v>0</v>
      </c>
      <c r="AF365" s="124"/>
      <c r="AG365" s="124"/>
      <c r="AH365" s="131">
        <f>IF(AC365=0,AE365+AF365*AG365/2,AE365+AC365*AG365/2)</f>
        <v>0</v>
      </c>
      <c r="AI365" s="129"/>
      <c r="AJ365" s="129"/>
      <c r="AK365" s="130"/>
      <c r="AL365" s="131">
        <f>IF(AK365=0,AI365*AJ365/2,AK365)</f>
        <v>0</v>
      </c>
      <c r="AM365" s="122"/>
      <c r="AN365" s="124"/>
      <c r="AO365" s="124"/>
      <c r="AP365" s="131">
        <f>AL365+AI365*(AN365-AO365)/2</f>
        <v>0</v>
      </c>
      <c r="AQ365" s="131">
        <f>0.1*(AE365+AL365)</f>
        <v>0</v>
      </c>
      <c r="AR365" s="124"/>
      <c r="AS365" s="124"/>
      <c r="AT365" s="124"/>
      <c r="AU365" s="124"/>
      <c r="AV365" s="130"/>
      <c r="AW365" s="131">
        <f>IF(AV365=0,AS365/6*(AT365+AU365*4),AV365)</f>
        <v>0</v>
      </c>
      <c r="AX365" s="124"/>
      <c r="AY365" s="131">
        <f>IF(AX365&lt;0.149*M365+0.329,1,AX365/(0.149*M365+0.329))</f>
        <v>1</v>
      </c>
      <c r="AZ365" s="131">
        <f>IF(AW365*AY365&gt;AL365,(AW365*AY365-AL365)/4,0)</f>
        <v>0</v>
      </c>
      <c r="BA365" s="94">
        <f>0.401+0.1831*(2*AR365^2/(AH365+AP365+AZ365))-0.02016*(2*AR365^2/(AH365+AP365+AZ365))^2+0.0007472*(2*AR365^2/(AH365+AP365+AZ365))^3</f>
      </c>
      <c r="BB365" s="129"/>
      <c r="BC365" s="129"/>
      <c r="BD365" s="129"/>
      <c r="BE365" s="129"/>
      <c r="BF365" s="130"/>
      <c r="BG365" s="131">
        <f>IF(BF365=0,(BC365+BD365)*(BB365/12+BE365/3),BF365)</f>
        <v>0</v>
      </c>
      <c r="BH365" s="131">
        <f>IF(BG365*AY365&gt;AL365+AZ365,BG365*AY365-AL365-AZ365,0)</f>
        <v>0</v>
      </c>
      <c r="BI365" s="131">
        <f>IF(M365/1.6&lt;8,ROUND(M365/1.6,0),8)</f>
        <v>0</v>
      </c>
      <c r="BJ365" s="132">
        <f>(AH365+AP365+AZ365)*BA365+0.1*BH365</f>
      </c>
      <c r="BK365" s="124"/>
      <c r="BL365" s="131">
        <f>M365*0.2</f>
        <v>0</v>
      </c>
      <c r="BM365" s="131">
        <f>ROUNDDOWN(M365/2.13,0)</f>
        <v>0</v>
      </c>
      <c r="BN365" s="133">
        <f>M365/4.26</f>
        <v>0</v>
      </c>
      <c r="BO365" s="131">
        <f>IF(M365&lt;8,1.22,IF(M365&lt;15.2,0.108333*M365+0.353,2))</f>
        <v>1.22</v>
      </c>
      <c r="BP365" s="132">
        <f>IF(BK365&lt;BO365,1+0.3*(BO365-BK365)/M365,1)</f>
      </c>
      <c r="BQ365" s="122"/>
      <c r="BR365" s="122"/>
      <c r="BS365" s="123"/>
      <c r="BT365" s="123"/>
      <c r="BU365" s="123"/>
      <c r="BV365" s="125">
        <f>IF(BQ365&lt;(M365/0.3048)^0.5,1,IF(BU365="x",1-BR365*0.02,IF(BT365="x",1-BR365*0.01,1)))</f>
        <v>1</v>
      </c>
      <c r="BW365" s="132">
        <f>IF(K365="x",MIN(1.315,1.28+U365*N365/BJ365/AR365/1100),IF(L365="x",1.28,MAX(1.245,1.28-U365*N365/BJ365/AR365/1100)))</f>
      </c>
      <c r="BX365" s="134">
        <f>BW365*T365*BV365*BP365*N365^0.3*BJ365^0.4/V365^0.325</f>
      </c>
      <c r="BY365" s="134"/>
      <c r="BZ365" s="134"/>
      <c r="CA365" s="121"/>
      <c r="CB365" s="121"/>
      <c r="CC365" s="94"/>
      <c r="CD365" s="94"/>
      <c r="CE365" s="94"/>
      <c r="CF365" s="94"/>
      <c r="CG365" t="s" s="135">
        <f>A365</f>
        <v>2000</v>
      </c>
    </row>
    <row r="366" ht="12.75" customHeight="1">
      <c r="A366" t="s" s="120">
        <v>1999</v>
      </c>
      <c r="B366" s="94"/>
      <c r="C366" s="94"/>
      <c r="D366" s="94"/>
      <c r="E366" s="94"/>
      <c r="F366" s="121"/>
      <c r="G366" s="121"/>
      <c r="H366" s="122"/>
      <c r="I366" s="122"/>
      <c r="J366" s="123"/>
      <c r="K366" s="123"/>
      <c r="L366" s="123"/>
      <c r="M366" s="124"/>
      <c r="N366" s="125"/>
      <c r="O366" s="124"/>
      <c r="P366" s="124"/>
      <c r="Q366" s="126"/>
      <c r="R366" s="123"/>
      <c r="S366" s="123"/>
      <c r="T366" s="127">
        <f>IF(S366&gt;0,1.048,IF(R366&gt;0,1.048,IF(Q366&gt;0,1.036,0.907+1.55*(P366/N366)-4.449*(P366/N366)^2)))</f>
      </c>
      <c r="U366" s="122"/>
      <c r="V366" s="128">
        <f>IF(H366="x",75+U366,IF(M366&lt;6.66,150+U366,-1.7384*M366^2+92.38*M366-388+U366))</f>
        <v>150</v>
      </c>
      <c r="W366" s="129"/>
      <c r="X366" s="129"/>
      <c r="Y366" s="129"/>
      <c r="Z366" s="129"/>
      <c r="AA366" s="129"/>
      <c r="AB366" s="129"/>
      <c r="AC366" s="129"/>
      <c r="AD366" s="130"/>
      <c r="AE366" s="131">
        <f>IF(AD366=0,(W366+4*X366+2*Y366+4*Z366+AA366)*AC366/12+W366*AB366/1.5,AD366)</f>
        <v>0</v>
      </c>
      <c r="AF366" s="124"/>
      <c r="AG366" s="124"/>
      <c r="AH366" s="131">
        <f>IF(AC366=0,AE366+AF366*AG366/2,AE366+AC366*AG366/2)</f>
        <v>0</v>
      </c>
      <c r="AI366" s="129"/>
      <c r="AJ366" s="129"/>
      <c r="AK366" s="130"/>
      <c r="AL366" s="131">
        <f>IF(AK366=0,AI366*AJ366/2,AK366)</f>
        <v>0</v>
      </c>
      <c r="AM366" s="122"/>
      <c r="AN366" s="124"/>
      <c r="AO366" s="124"/>
      <c r="AP366" s="131">
        <f>AL366+AI366*(AN366-AO366)/2</f>
        <v>0</v>
      </c>
      <c r="AQ366" s="131">
        <f>0.1*(AE366+AL366)</f>
        <v>0</v>
      </c>
      <c r="AR366" s="124"/>
      <c r="AS366" s="124"/>
      <c r="AT366" s="124"/>
      <c r="AU366" s="124"/>
      <c r="AV366" s="130"/>
      <c r="AW366" s="131">
        <f>IF(AV366=0,AS366/6*(AT366+AU366*4),AV366)</f>
        <v>0</v>
      </c>
      <c r="AX366" s="124"/>
      <c r="AY366" s="131">
        <f>IF(AX366&lt;0.149*M366+0.329,1,AX366/(0.149*M366+0.329))</f>
        <v>1</v>
      </c>
      <c r="AZ366" s="131">
        <f>IF(AW366*AY366&gt;AL366,(AW366*AY366-AL366)/4,0)</f>
        <v>0</v>
      </c>
      <c r="BA366" s="94">
        <f>0.401+0.1831*(2*AR366^2/(AH366+AP366+AZ366))-0.02016*(2*AR366^2/(AH366+AP366+AZ366))^2+0.0007472*(2*AR366^2/(AH366+AP366+AZ366))^3</f>
      </c>
      <c r="BB366" s="129"/>
      <c r="BC366" s="129"/>
      <c r="BD366" s="129"/>
      <c r="BE366" s="129"/>
      <c r="BF366" s="130"/>
      <c r="BG366" s="131">
        <f>IF(BF366=0,(BC366+BD366)*(BB366/12+BE366/3),BF366)</f>
        <v>0</v>
      </c>
      <c r="BH366" s="131">
        <f>IF(BG366*AY366&gt;AL366+AZ366,BG366*AY366-AL366-AZ366,0)</f>
        <v>0</v>
      </c>
      <c r="BI366" s="131">
        <f>IF(M366/1.6&lt;8,ROUND(M366/1.6,0),8)</f>
        <v>0</v>
      </c>
      <c r="BJ366" s="132">
        <f>(AH366+AP366+AZ366)*BA366+0.1*BH366</f>
      </c>
      <c r="BK366" s="124"/>
      <c r="BL366" s="131">
        <f>M366*0.2</f>
        <v>0</v>
      </c>
      <c r="BM366" s="131">
        <f>ROUNDDOWN(M366/2.13,0)</f>
        <v>0</v>
      </c>
      <c r="BN366" s="133">
        <f>M366/4.26</f>
        <v>0</v>
      </c>
      <c r="BO366" s="131">
        <f>IF(M366&lt;8,1.22,IF(M366&lt;15.2,0.108333*M366+0.353,2))</f>
        <v>1.22</v>
      </c>
      <c r="BP366" s="132">
        <f>IF(BK366&lt;BO366,1+0.3*(BO366-BK366)/M366,1)</f>
      </c>
      <c r="BQ366" s="122"/>
      <c r="BR366" s="122"/>
      <c r="BS366" s="123"/>
      <c r="BT366" s="123"/>
      <c r="BU366" s="123"/>
      <c r="BV366" s="125">
        <f>IF(BQ366&lt;(M366/0.3048)^0.5,1,IF(BU366="x",1-BR366*0.02,IF(BT366="x",1-BR366*0.01,1)))</f>
        <v>1</v>
      </c>
      <c r="BW366" s="132">
        <f>IF(K366="x",MIN(1.315,1.28+U366*N366/BJ366/AR366/1100),IF(L366="x",1.28,MAX(1.245,1.28-U366*N366/BJ366/AR366/1100)))</f>
      </c>
      <c r="BX366" s="134">
        <f>BW366*T366*BV366*BP366*N366^0.3*BJ366^0.4/V366^0.325</f>
      </c>
      <c r="BY366" s="134"/>
      <c r="BZ366" s="134"/>
      <c r="CA366" s="121"/>
      <c r="CB366" s="121"/>
      <c r="CC366" s="94"/>
      <c r="CD366" s="94"/>
      <c r="CE366" s="94"/>
      <c r="CF366" s="94"/>
      <c r="CG366" t="s" s="135">
        <f>A366</f>
        <v>2000</v>
      </c>
    </row>
    <row r="367" ht="12.75" customHeight="1">
      <c r="A367" t="s" s="136">
        <v>2001</v>
      </c>
      <c r="B367" t="s" s="137">
        <v>2002</v>
      </c>
      <c r="C367" t="s" s="138">
        <v>2003</v>
      </c>
      <c r="D367" t="s" s="138">
        <v>2004</v>
      </c>
      <c r="E367" t="s" s="138">
        <v>2005</v>
      </c>
      <c r="F367" t="s" s="137">
        <v>2006</v>
      </c>
      <c r="G367" t="s" s="137">
        <v>2006</v>
      </c>
      <c r="H367" s="139"/>
      <c r="I367" s="139"/>
      <c r="J367" s="139"/>
      <c r="K367" s="139"/>
      <c r="L367" s="139"/>
      <c r="M367" t="s" s="140">
        <v>96</v>
      </c>
      <c r="N367" t="s" s="141">
        <v>97</v>
      </c>
      <c r="O367" t="s" s="140">
        <v>98</v>
      </c>
      <c r="P367" t="s" s="140">
        <v>99</v>
      </c>
      <c r="Q367" t="s" s="140">
        <v>99</v>
      </c>
      <c r="R367" t="s" s="140">
        <v>99</v>
      </c>
      <c r="S367" t="s" s="140">
        <v>99</v>
      </c>
      <c r="T367" t="s" s="141">
        <v>100</v>
      </c>
      <c r="U367" t="s" s="140">
        <v>101</v>
      </c>
      <c r="V367" t="s" s="141">
        <v>102</v>
      </c>
      <c r="W367" t="s" s="142">
        <v>103</v>
      </c>
      <c r="X367" t="s" s="142">
        <v>104</v>
      </c>
      <c r="Y367" t="s" s="142">
        <v>105</v>
      </c>
      <c r="Z367" t="s" s="142">
        <v>106</v>
      </c>
      <c r="AA367" t="s" s="142">
        <v>107</v>
      </c>
      <c r="AB367" t="s" s="142">
        <v>108</v>
      </c>
      <c r="AC367" t="s" s="142">
        <v>109</v>
      </c>
      <c r="AD367" s="143"/>
      <c r="AE367" t="s" s="138">
        <v>110</v>
      </c>
      <c r="AF367" s="144"/>
      <c r="AG367" t="s" s="140">
        <v>111</v>
      </c>
      <c r="AH367" t="s" s="138">
        <v>112</v>
      </c>
      <c r="AI367" t="s" s="142">
        <v>113</v>
      </c>
      <c r="AJ367" t="s" s="142">
        <v>114</v>
      </c>
      <c r="AK367" s="143"/>
      <c r="AL367" t="s" s="138">
        <v>115</v>
      </c>
      <c r="AM367" s="139"/>
      <c r="AN367" t="s" s="140">
        <v>116</v>
      </c>
      <c r="AO367" t="s" s="140">
        <v>117</v>
      </c>
      <c r="AP367" t="s" s="138">
        <v>118</v>
      </c>
      <c r="AQ367" s="145"/>
      <c r="AR367" t="s" s="140">
        <v>119</v>
      </c>
      <c r="AS367" t="s" s="142">
        <v>120</v>
      </c>
      <c r="AT367" t="s" s="142">
        <v>121</v>
      </c>
      <c r="AU367" t="s" s="142">
        <v>122</v>
      </c>
      <c r="AV367" s="146"/>
      <c r="AW367" t="s" s="138">
        <v>123</v>
      </c>
      <c r="AX367" t="s" s="140">
        <v>124</v>
      </c>
      <c r="AY367" t="s" s="138">
        <v>125</v>
      </c>
      <c r="AZ367" t="s" s="138">
        <v>126</v>
      </c>
      <c r="BA367" t="s" s="138">
        <v>127</v>
      </c>
      <c r="BB367" t="s" s="142">
        <v>128</v>
      </c>
      <c r="BC367" t="s" s="142">
        <v>129</v>
      </c>
      <c r="BD367" t="s" s="142">
        <v>130</v>
      </c>
      <c r="BE367" t="s" s="142">
        <v>131</v>
      </c>
      <c r="BF367" s="143"/>
      <c r="BG367" t="s" s="138">
        <v>132</v>
      </c>
      <c r="BH367" t="s" s="138">
        <v>133</v>
      </c>
      <c r="BI367" s="145"/>
      <c r="BJ367" t="s" s="141">
        <v>134</v>
      </c>
      <c r="BK367" t="s" s="140">
        <v>135</v>
      </c>
      <c r="BL367" s="147"/>
      <c r="BM367" s="145"/>
      <c r="BN367" s="148"/>
      <c r="BO367" s="147"/>
      <c r="BP367" t="s" s="141">
        <v>137</v>
      </c>
      <c r="BQ367" t="s" s="140">
        <v>138</v>
      </c>
      <c r="BR367" s="139"/>
      <c r="BS367" s="139"/>
      <c r="BT367" s="139"/>
      <c r="BU367" s="139"/>
      <c r="BV367" t="s" s="141">
        <v>139</v>
      </c>
      <c r="BW367" t="s" s="141">
        <v>140</v>
      </c>
      <c r="BX367" t="s" s="149">
        <v>141</v>
      </c>
      <c r="BY367" t="s" s="149">
        <v>142</v>
      </c>
      <c r="BZ367" t="s" s="149">
        <v>143</v>
      </c>
      <c r="CA367" t="s" s="136">
        <v>2007</v>
      </c>
      <c r="CB367" t="s" s="136">
        <v>2008</v>
      </c>
      <c r="CC367" s="150"/>
      <c r="CD367" t="s" s="141">
        <v>2009</v>
      </c>
      <c r="CE367" s="145"/>
      <c r="CF367" s="145"/>
      <c r="CG367" t="s" s="136">
        <f>A367</f>
        <v>2010</v>
      </c>
    </row>
    <row r="368" ht="180" customHeight="1">
      <c r="A368" s="3"/>
      <c r="B368" s="3"/>
      <c r="C368" s="3"/>
      <c r="D368" s="23"/>
      <c r="E368" s="3"/>
      <c r="F368" s="4"/>
      <c r="G368" s="4"/>
      <c r="H368" t="s" s="24">
        <v>2011</v>
      </c>
      <c r="I368" t="s" s="24">
        <v>2012</v>
      </c>
      <c r="J368" t="s" s="24">
        <v>2013</v>
      </c>
      <c r="K368" t="s" s="24">
        <v>2014</v>
      </c>
      <c r="L368" t="s" s="24">
        <v>1613</v>
      </c>
      <c r="M368" t="s" s="20">
        <v>2015</v>
      </c>
      <c r="N368" t="s" s="25">
        <v>2016</v>
      </c>
      <c r="O368" t="s" s="20">
        <v>2017</v>
      </c>
      <c r="P368" t="s" s="20">
        <v>2018</v>
      </c>
      <c r="Q368" t="s" s="20">
        <v>2019</v>
      </c>
      <c r="R368" t="s" s="20">
        <v>2020</v>
      </c>
      <c r="S368" t="s" s="20">
        <v>2021</v>
      </c>
      <c r="T368" t="s" s="25">
        <v>2022</v>
      </c>
      <c r="U368" t="s" s="20">
        <v>2023</v>
      </c>
      <c r="V368" t="s" s="25">
        <v>2024</v>
      </c>
      <c r="W368" t="s" s="26">
        <v>2025</v>
      </c>
      <c r="X368" t="s" s="26">
        <v>2026</v>
      </c>
      <c r="Y368" t="s" s="26">
        <v>2027</v>
      </c>
      <c r="Z368" t="s" s="26">
        <v>2028</v>
      </c>
      <c r="AA368" t="s" s="26">
        <v>2029</v>
      </c>
      <c r="AB368" t="s" s="26">
        <v>2030</v>
      </c>
      <c r="AC368" t="s" s="26">
        <v>2031</v>
      </c>
      <c r="AD368" t="s" s="21">
        <v>2032</v>
      </c>
      <c r="AE368" t="s" s="19">
        <v>2033</v>
      </c>
      <c r="AF368" t="s" s="20">
        <v>2034</v>
      </c>
      <c r="AG368" t="s" s="20">
        <v>2035</v>
      </c>
      <c r="AH368" t="s" s="19">
        <v>2036</v>
      </c>
      <c r="AI368" t="s" s="26">
        <v>2037</v>
      </c>
      <c r="AJ368" t="s" s="26">
        <v>2038</v>
      </c>
      <c r="AK368" t="s" s="21">
        <v>2039</v>
      </c>
      <c r="AL368" t="s" s="19">
        <v>2040</v>
      </c>
      <c r="AM368" t="s" s="20">
        <v>2041</v>
      </c>
      <c r="AN368" t="s" s="20">
        <v>2042</v>
      </c>
      <c r="AO368" t="s" s="20">
        <v>2043</v>
      </c>
      <c r="AP368" t="s" s="19">
        <v>2044</v>
      </c>
      <c r="AQ368" t="s" s="19">
        <v>2045</v>
      </c>
      <c r="AR368" t="s" s="20">
        <v>2046</v>
      </c>
      <c r="AS368" t="s" s="26">
        <v>2047</v>
      </c>
      <c r="AT368" t="s" s="26">
        <v>2048</v>
      </c>
      <c r="AU368" t="s" s="26">
        <v>2049</v>
      </c>
      <c r="AV368" t="s" s="21">
        <v>2050</v>
      </c>
      <c r="AW368" t="s" s="19">
        <v>2051</v>
      </c>
      <c r="AX368" t="s" s="20">
        <v>2052</v>
      </c>
      <c r="AY368" t="s" s="19">
        <v>2053</v>
      </c>
      <c r="AZ368" t="s" s="19">
        <v>2054</v>
      </c>
      <c r="BA368" s="12"/>
      <c r="BB368" t="s" s="26">
        <v>2055</v>
      </c>
      <c r="BC368" t="s" s="26">
        <v>2056</v>
      </c>
      <c r="BD368" t="s" s="26">
        <v>2057</v>
      </c>
      <c r="BE368" t="s" s="26">
        <v>2058</v>
      </c>
      <c r="BF368" t="s" s="21">
        <v>2059</v>
      </c>
      <c r="BG368" t="s" s="19">
        <v>2060</v>
      </c>
      <c r="BH368" t="s" s="19">
        <v>2061</v>
      </c>
      <c r="BI368" t="s" s="19">
        <v>2062</v>
      </c>
      <c r="BJ368" t="s" s="25">
        <v>2063</v>
      </c>
      <c r="BK368" t="s" s="20">
        <v>2064</v>
      </c>
      <c r="BL368" t="s" s="19">
        <v>2065</v>
      </c>
      <c r="BM368" t="s" s="19">
        <v>2066</v>
      </c>
      <c r="BN368" t="s" s="19">
        <v>2067</v>
      </c>
      <c r="BO368" t="s" s="19">
        <v>2068</v>
      </c>
      <c r="BP368" t="s" s="25">
        <v>2069</v>
      </c>
      <c r="BQ368" t="s" s="20">
        <v>2070</v>
      </c>
      <c r="BR368" t="s" s="20">
        <v>2071</v>
      </c>
      <c r="BS368" t="s" s="20">
        <v>2072</v>
      </c>
      <c r="BT368" t="s" s="20">
        <v>2073</v>
      </c>
      <c r="BU368" t="s" s="20">
        <v>2074</v>
      </c>
      <c r="BV368" t="s" s="25">
        <v>2075</v>
      </c>
      <c r="BW368" s="8"/>
      <c r="BX368" t="s" s="28">
        <v>2076</v>
      </c>
      <c r="BY368" s="29"/>
      <c r="BZ368" t="s" s="28">
        <v>2077</v>
      </c>
      <c r="CA368" s="4"/>
      <c r="CB368" s="4"/>
      <c r="CC368" t="s" s="13">
        <v>2078</v>
      </c>
      <c r="CD368" s="3"/>
      <c r="CE368" s="3"/>
      <c r="CF368" s="3"/>
      <c r="CG368" s="3"/>
    </row>
    <row r="369" ht="12.75" customHeight="1">
      <c r="A369" s="3"/>
      <c r="B369" s="3"/>
      <c r="C369" s="3"/>
      <c r="D369" s="3"/>
      <c r="E369" s="3"/>
      <c r="F369" s="3"/>
      <c r="G369" s="3"/>
      <c r="H369" t="s" s="22">
        <v>12</v>
      </c>
      <c r="I369" s="3"/>
      <c r="J369" s="3"/>
      <c r="K369" s="3"/>
      <c r="L369" s="3"/>
      <c r="M369" s="3"/>
      <c r="N369" s="3"/>
      <c r="O369" s="3"/>
      <c r="P369" t="s" s="19">
        <v>2079</v>
      </c>
      <c r="Q369" s="5"/>
      <c r="R369" s="3"/>
      <c r="S369" s="3"/>
      <c r="T369" s="3"/>
      <c r="U369" s="3"/>
      <c r="V369" s="3"/>
      <c r="W369" t="s" s="19">
        <v>2080</v>
      </c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t="s" s="19">
        <v>2081</v>
      </c>
      <c r="AJ369" s="3"/>
      <c r="AK369" s="3"/>
      <c r="AL369" s="3"/>
      <c r="AM369" s="3"/>
      <c r="AN369" s="3"/>
      <c r="AO369" s="3"/>
      <c r="AP369" s="3"/>
      <c r="AQ369" s="3"/>
      <c r="AR369" s="3"/>
      <c r="AS369" t="s" s="19">
        <v>2082</v>
      </c>
      <c r="AT369" s="151"/>
      <c r="AU369" s="151"/>
      <c r="AV369" s="3"/>
      <c r="AW369" s="3"/>
      <c r="AX369" s="3"/>
      <c r="AY369" s="3"/>
      <c r="AZ369" s="3"/>
      <c r="BA369" s="3"/>
      <c r="BB369" s="3"/>
      <c r="BC369" s="3"/>
      <c r="BD369" s="3"/>
      <c r="BE369" t="s" s="19">
        <v>17</v>
      </c>
      <c r="BF369" s="5"/>
      <c r="BG369" s="5"/>
      <c r="BH369" s="3"/>
      <c r="BI369" s="3"/>
      <c r="BJ369" s="3"/>
      <c r="BK369" t="s" s="19">
        <v>2083</v>
      </c>
      <c r="BL369" s="5"/>
      <c r="BM369" s="3"/>
      <c r="BN369" s="3"/>
      <c r="BO369" s="3"/>
      <c r="BP369" s="3"/>
      <c r="BQ369" s="3"/>
      <c r="BR369" t="s" s="19">
        <v>2084</v>
      </c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</row>
    <row r="370" ht="12.75" customHeight="1">
      <c r="A370" t="s" s="19">
        <v>2085</v>
      </c>
      <c r="B370" s="3"/>
      <c r="C370" s="3"/>
      <c r="D370" s="3"/>
      <c r="E370" s="3"/>
      <c r="F370" s="3"/>
      <c r="G370" s="3"/>
      <c r="H370" t="s" s="20">
        <v>2086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t="s" s="21">
        <v>2087</v>
      </c>
      <c r="AL370" s="5"/>
      <c r="AM370" s="3"/>
      <c r="AN370" s="5"/>
      <c r="AO370" s="5"/>
      <c r="AP370" s="5"/>
      <c r="AQ370" s="3"/>
      <c r="AR370" s="5"/>
      <c r="AS370" s="5"/>
      <c r="AT370" s="5"/>
      <c r="AU370" s="5"/>
      <c r="AV370" s="5"/>
      <c r="AW370" s="5"/>
      <c r="AX370" s="5"/>
      <c r="AY370" s="5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>
        <f>36*0.3046</f>
        <v>10.9656</v>
      </c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</row>
  </sheetData>
  <mergeCells count="1">
    <mergeCell ref="A327:A364"/>
  </mergeCells>
  <hyperlinks>
    <hyperlink ref="AD1" r:id="rId1" location="" tooltip="" display=""/>
  </hyperlinks>
  <pageMargins left="0.19685" right="0.19685" top="0.984252" bottom="0.984252" header="0.511811" footer="0.511811"/>
  <pageSetup firstPageNumber="1" fitToHeight="1" fitToWidth="1" scale="85" useFirstPageNumber="0" orientation="portrait" pageOrder="downThenOver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