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-O" sheetId="1" r:id="rId1"/>
    <sheet name="Aux.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Excluding bowsprit, stem roller, etc.)
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"Y" if boat has reserve buoyancy when flooded AND has Gz&gt;0 at 90 degrees.
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Excluding caprails, rubrails, etc.
</t>
        </r>
      </text>
    </comment>
    <comment ref="B12" authorId="0">
      <text>
        <r>
          <rPr>
            <b/>
            <sz val="8"/>
            <color indexed="8"/>
            <rFont val="Times New Roman"/>
            <family val="1"/>
          </rPr>
          <t xml:space="preserve">Minimum sailing condition including 2 crew, basic standard equipment but no payload
</t>
        </r>
      </text>
    </comment>
  </commentList>
</comments>
</file>

<file path=xl/sharedStrings.xml><?xml version="1.0" encoding="utf-8"?>
<sst xmlns="http://schemas.openxmlformats.org/spreadsheetml/2006/main" count="82" uniqueCount="53">
  <si>
    <t>Monohull Stability Index (STIX) Calculator</t>
  </si>
  <si>
    <t>Vessel Name:</t>
  </si>
  <si>
    <t>TEST</t>
  </si>
  <si>
    <t>INPUTS</t>
  </si>
  <si>
    <t>RESULTS for Dmsc</t>
  </si>
  <si>
    <t>RESULTS for Dmax</t>
  </si>
  <si>
    <t>Overall Hull Length</t>
  </si>
  <si>
    <t>m</t>
  </si>
  <si>
    <t>Base Length Factor  (LBS)</t>
  </si>
  <si>
    <t>Length Waterline</t>
  </si>
  <si>
    <t>FL</t>
  </si>
  <si>
    <t>Flooded Buoyancy (Y/N)</t>
  </si>
  <si>
    <t>N</t>
  </si>
  <si>
    <t>Displacement Length Factor (FDL)</t>
  </si>
  <si>
    <t>Beam Waterline</t>
  </si>
  <si>
    <t>FB</t>
  </si>
  <si>
    <t>Beam</t>
  </si>
  <si>
    <t>Beam Displacement Factor (FBD)</t>
  </si>
  <si>
    <t>Displacement MSC</t>
  </si>
  <si>
    <t>kg</t>
  </si>
  <si>
    <t>FR</t>
  </si>
  <si>
    <t>Displacement Max</t>
  </si>
  <si>
    <t>Knockdown Recovery Factor (FKR)</t>
  </si>
  <si>
    <t>Height of CE above DWL</t>
  </si>
  <si>
    <t>Inversion Recovery Factor (FIR)</t>
  </si>
  <si>
    <t>Height of CLR below DWL</t>
  </si>
  <si>
    <t>Dynamic Stability Factor (FDS)</t>
  </si>
  <si>
    <t>Angle of vanishing stability</t>
  </si>
  <si>
    <t>deg</t>
  </si>
  <si>
    <t>Vaw (Only if Dfl&lt;90)</t>
  </si>
  <si>
    <t>Downflooding angle,  (Afl)</t>
  </si>
  <si>
    <t>Wind Moment Factor (FWM)</t>
  </si>
  <si>
    <t>GZ at downflooding angle</t>
  </si>
  <si>
    <t>Downflooding Factor (FDF)</t>
  </si>
  <si>
    <t>GZ at 90 degrees</t>
  </si>
  <si>
    <t>Delta</t>
  </si>
  <si>
    <t>Sail Area</t>
  </si>
  <si>
    <t>sq.m</t>
  </si>
  <si>
    <t>Area to flooding (Agz)</t>
  </si>
  <si>
    <t>m.deg</t>
  </si>
  <si>
    <t>STIX</t>
  </si>
  <si>
    <t>Area to AVS</t>
  </si>
  <si>
    <t>DESIGN CATEGORY</t>
  </si>
  <si>
    <t>Wave height max</t>
  </si>
  <si>
    <t>Windspeed max.</t>
  </si>
  <si>
    <t>Dmax/Dmsc</t>
  </si>
  <si>
    <t>&gt; ?</t>
  </si>
  <si>
    <t>ASIGNED STIX</t>
  </si>
  <si>
    <t>ASIGNED CATEGORY</t>
  </si>
  <si>
    <t>Applicable</t>
  </si>
  <si>
    <t>YES: We have to choose the lower STIX</t>
  </si>
  <si>
    <t>NO: We choose the STIX value calculated with Dmsc</t>
  </si>
  <si>
    <t>Not Applicable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</si>
</sst>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1"/>
      <name val="Eraser"/>
      <family val="2"/>
    </font>
    <font>
      <sz val="10"/>
      <name val="Arial"/>
      <family val="0"/>
    </font>
    <font>
      <sz val="10"/>
      <name val="Eraser"/>
      <family val="2"/>
    </font>
    <font>
      <b/>
      <sz val="12"/>
      <name val="Eraser"/>
      <family val="2"/>
    </font>
    <font>
      <b/>
      <sz val="11"/>
      <color indexed="18"/>
      <name val="Eraser"/>
      <family val="2"/>
    </font>
    <font>
      <b/>
      <sz val="11"/>
      <color indexed="10"/>
      <name val="Eraser"/>
      <family val="2"/>
    </font>
    <font>
      <b/>
      <sz val="11"/>
      <color indexed="17"/>
      <name val="Eraser"/>
      <family val="2"/>
    </font>
    <font>
      <sz val="11"/>
      <color indexed="18"/>
      <name val="Eraser"/>
      <family val="2"/>
    </font>
    <font>
      <b/>
      <sz val="8"/>
      <color indexed="8"/>
      <name val="Times New Roman"/>
      <family val="1"/>
    </font>
    <font>
      <b/>
      <sz val="11"/>
      <name val="Eraser"/>
      <family val="2"/>
    </font>
    <font>
      <b/>
      <sz val="11"/>
      <color indexed="8"/>
      <name val="Eraser"/>
      <family val="2"/>
    </font>
    <font>
      <sz val="11"/>
      <color indexed="8"/>
      <name val="Eraser"/>
      <family val="2"/>
    </font>
    <font>
      <b/>
      <sz val="10"/>
      <color indexed="18"/>
      <name val="Eraser"/>
      <family val="2"/>
    </font>
    <font>
      <sz val="10"/>
      <color indexed="18"/>
      <name val="Eraser"/>
      <family val="2"/>
    </font>
    <font>
      <sz val="8"/>
      <name val="Eraser"/>
      <family val="2"/>
    </font>
    <font>
      <b/>
      <sz val="8"/>
      <name val="Eras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tabSelected="1" workbookViewId="0" topLeftCell="A1">
      <selection activeCell="A1" sqref="A1"/>
    </sheetView>
  </sheetViews>
  <sheetFormatPr defaultColWidth="11.19921875" defaultRowHeight="14.25"/>
  <cols>
    <col min="1" max="1" width="2.3984375" style="1" customWidth="1"/>
    <col min="2" max="2" width="24.3984375" style="1" customWidth="1"/>
    <col min="3" max="3" width="8.8984375" style="1" customWidth="1"/>
    <col min="4" max="4" width="7" style="1" customWidth="1"/>
    <col min="5" max="5" width="5.3984375" style="1" customWidth="1"/>
    <col min="6" max="6" width="31.5" style="1" customWidth="1"/>
    <col min="7" max="7" width="12.59765625" style="1" customWidth="1"/>
    <col min="8" max="8" width="9.69921875" style="1" customWidth="1"/>
    <col min="9" max="9" width="5.5" style="1" customWidth="1"/>
    <col min="10" max="10" width="32.5" style="1" customWidth="1"/>
    <col min="11" max="11" width="13" style="1" customWidth="1"/>
    <col min="12" max="12" width="7" style="1" customWidth="1"/>
    <col min="13" max="255" width="8.8984375" style="1" customWidth="1"/>
    <col min="256" max="16384" width="8.8984375" style="0" customWidth="1"/>
  </cols>
  <sheetData>
    <row r="1" spans="2:8" ht="15.75">
      <c r="B1" s="2" t="s">
        <v>0</v>
      </c>
      <c r="C1"/>
      <c r="D1"/>
      <c r="E1"/>
      <c r="F1"/>
      <c r="G1"/>
      <c r="H1"/>
    </row>
    <row r="2" spans="1:255" ht="14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>
      <c r="A3"/>
      <c r="B3" t="s">
        <v>1</v>
      </c>
      <c r="C3" s="3" t="s">
        <v>2</v>
      </c>
      <c r="D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>
      <c r="A5"/>
      <c r="B5" s="4" t="s">
        <v>3</v>
      </c>
      <c r="C5"/>
      <c r="D5"/>
      <c r="E5"/>
      <c r="F5" s="5" t="s">
        <v>4</v>
      </c>
      <c r="G5"/>
      <c r="H5"/>
      <c r="I5"/>
      <c r="J5" s="5" t="s">
        <v>5</v>
      </c>
      <c r="K5" s="6" t="str">
        <f>IF(C29&gt;E29,'Aux.'!A3,'Aux.'!A1)</f>
        <v>Applicable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>
      <c r="A6"/>
      <c r="B6" s="7"/>
      <c r="C6"/>
      <c r="D6"/>
      <c r="E6"/>
      <c r="F6" s="5"/>
      <c r="G6"/>
      <c r="H6"/>
      <c r="I6"/>
      <c r="J6" s="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4.25">
      <c r="A7"/>
      <c r="B7" t="s">
        <v>6</v>
      </c>
      <c r="C7" s="8">
        <v>13.72</v>
      </c>
      <c r="D7" t="s">
        <v>7</v>
      </c>
      <c r="E7"/>
      <c r="F7" s="9" t="s">
        <v>8</v>
      </c>
      <c r="G7" s="10">
        <f>(C7+2*C8)/3</f>
        <v>12.94</v>
      </c>
      <c r="H7"/>
      <c r="I7"/>
      <c r="J7" s="9" t="s">
        <v>8</v>
      </c>
      <c r="K7" s="10">
        <f>(C7+2*C8)/3</f>
        <v>12.94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4.25">
      <c r="A8"/>
      <c r="B8" t="s">
        <v>9</v>
      </c>
      <c r="C8" s="8">
        <v>12.55</v>
      </c>
      <c r="D8" t="s">
        <v>7</v>
      </c>
      <c r="E8"/>
      <c r="F8" t="s">
        <v>10</v>
      </c>
      <c r="G8" s="11">
        <f>(G7/11)^0.2</f>
        <v>1.0330190209253653</v>
      </c>
      <c r="H8"/>
      <c r="I8"/>
      <c r="J8" t="s">
        <v>10</v>
      </c>
      <c r="K8" s="11">
        <f>(K7/11)^0.2</f>
        <v>1.0330190209253653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>
      <c r="A9"/>
      <c r="B9" t="s">
        <v>11</v>
      </c>
      <c r="C9" s="8" t="s">
        <v>12</v>
      </c>
      <c r="D9"/>
      <c r="E9"/>
      <c r="F9" s="9" t="s">
        <v>13</v>
      </c>
      <c r="G9" s="10">
        <f>SQRT(0.6+(15*C12*G8/((G7^3)*(333-8*G7))))</f>
        <v>1.0124910007360246</v>
      </c>
      <c r="H9"/>
      <c r="I9"/>
      <c r="J9" s="9" t="s">
        <v>13</v>
      </c>
      <c r="K9" s="10">
        <f>SQRT(0.6+(15*C13*G8/((K7^3)*(333-8*K7))))</f>
        <v>1.0573287772524094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>
      <c r="A10"/>
      <c r="B10" t="s">
        <v>14</v>
      </c>
      <c r="C10" s="8">
        <v>4.02</v>
      </c>
      <c r="D10" t="s">
        <v>7</v>
      </c>
      <c r="E10"/>
      <c r="F10" t="s">
        <v>15</v>
      </c>
      <c r="G10" s="11">
        <f>3.3*C11/((0.03*C12)^0.33333)</f>
        <v>1.897947033371709</v>
      </c>
      <c r="H10"/>
      <c r="I10"/>
      <c r="J10" t="s">
        <v>15</v>
      </c>
      <c r="K10" s="11">
        <f>3.3*C11/((0.03*C13)^0.33333)</f>
        <v>1.7770516442642144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>
      <c r="A11"/>
      <c r="B11" t="s">
        <v>16</v>
      </c>
      <c r="C11" s="8">
        <v>4.27</v>
      </c>
      <c r="D11" t="s">
        <v>7</v>
      </c>
      <c r="E11"/>
      <c r="F11" s="9" t="s">
        <v>17</v>
      </c>
      <c r="G11" s="10">
        <f>(IF(G10&gt;2.2,((13.31*C10/C11/G10^3)^0.5),IF(G10&lt;1.45,((C10*G10^2/1.682*C11)^0.5),1.118*(C10/C11)^0.5)))</f>
        <v>1.084778059300201</v>
      </c>
      <c r="H11"/>
      <c r="I11"/>
      <c r="J11" s="9" t="s">
        <v>17</v>
      </c>
      <c r="K11" s="10">
        <f>(IF(K10&gt;2.2,((13.31*C10/C11/K10^3)^0.5),IF(K10&lt;1.45,((C10*K10^2/1.682*C11)^0.5),1.118*(C10/C11)^0.5)))</f>
        <v>1.084778059300201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>
      <c r="A12"/>
      <c r="B12" t="s">
        <v>18</v>
      </c>
      <c r="C12" s="8">
        <v>13642</v>
      </c>
      <c r="D12" t="s">
        <v>19</v>
      </c>
      <c r="E12"/>
      <c r="F12" t="s">
        <v>20</v>
      </c>
      <c r="G12" s="11">
        <f>C19*C12/(2*C20*C14)</f>
        <v>3.61161990397691</v>
      </c>
      <c r="H12"/>
      <c r="I12"/>
      <c r="J12" t="s">
        <v>20</v>
      </c>
      <c r="K12" s="11">
        <f>C19*C13/(2*C20*C14)</f>
        <v>4.4000236625198825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5">
      <c r="A13"/>
      <c r="B13" t="s">
        <v>21</v>
      </c>
      <c r="C13" s="8">
        <v>16620</v>
      </c>
      <c r="D13" t="s">
        <v>19</v>
      </c>
      <c r="E13"/>
      <c r="F13" s="9" t="s">
        <v>22</v>
      </c>
      <c r="G13" s="10">
        <f>IF(G12&gt;=1.5,(0.875+0.0883*G12),(0.5+0.333*G12))*(C16&gt;=90)+0.5*(C16&lt;90)</f>
        <v>1.1939060375211612</v>
      </c>
      <c r="H13"/>
      <c r="I13"/>
      <c r="J13" s="9" t="s">
        <v>22</v>
      </c>
      <c r="K13" s="10">
        <f>IF(K12&gt;=1.5,(0.875+0.0883*K12),(0.5+0.333*K12))*(C16&gt;=90)+0.5*(C16&lt;90)</f>
        <v>1.2635220894005057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5">
      <c r="A14"/>
      <c r="B14" t="s">
        <v>23</v>
      </c>
      <c r="C14" s="8">
        <v>9.12</v>
      </c>
      <c r="D14" t="s">
        <v>7</v>
      </c>
      <c r="E14"/>
      <c r="F14" s="9" t="s">
        <v>24</v>
      </c>
      <c r="G14" s="10">
        <f>IF(H14&lt;=0.4,0.4,IF(H14&gt;=1.5,1.5,H14))</f>
        <v>1.1762306957576278</v>
      </c>
      <c r="H14" s="11">
        <f>(C12&lt;40000)*C16/(125-C12/1600)+(C12&gt;=40000)*(C16/100)</f>
        <v>1.1762306957576278</v>
      </c>
      <c r="I14"/>
      <c r="J14" s="9" t="s">
        <v>24</v>
      </c>
      <c r="K14" s="10">
        <f>IF(L14&lt;=0.4,0.4,IF(L14&gt;=1.5,1.5,L14))</f>
        <v>1.1953320972843278</v>
      </c>
      <c r="L14" s="11">
        <f>(C13&lt;40000)*C16/(125-C13/1600)+(C13&gt;=40000)*(C16/100)</f>
        <v>1.1953320972843278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5">
      <c r="A15"/>
      <c r="B15" t="s">
        <v>25</v>
      </c>
      <c r="C15" s="8">
        <v>0.65</v>
      </c>
      <c r="D15" t="s">
        <v>7</v>
      </c>
      <c r="E15"/>
      <c r="F15" s="9" t="s">
        <v>26</v>
      </c>
      <c r="G15" s="10">
        <f>IF(H15&lt;=0.5,0.5,IF(H15&gt;=1.5,1.5,H15))</f>
        <v>1.1642548915590998</v>
      </c>
      <c r="H15" s="11">
        <f>IF(C17&lt;C16,C21/(15.81*SQRT(C7)),C22/(15.81*SQRT(C7)))</f>
        <v>1.1642548915590998</v>
      </c>
      <c r="I15"/>
      <c r="J15" s="9" t="s">
        <v>26</v>
      </c>
      <c r="K15" s="10">
        <f>IF(L15&lt;=0.5,0.5,IF(L15&gt;=1.5,1.5,L15))</f>
        <v>1.1642548915590998</v>
      </c>
      <c r="L15" s="11">
        <f>IF(C17&lt;C16,C21/(15.81*SQRT(C7)),C22/(15.81*SQRT(C7)))</f>
        <v>1.1642548915590998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>
      <c r="A16"/>
      <c r="B16" t="s">
        <v>27</v>
      </c>
      <c r="C16" s="8">
        <v>137</v>
      </c>
      <c r="D16" t="s">
        <v>28</v>
      </c>
      <c r="E16"/>
      <c r="F16" t="s">
        <v>29</v>
      </c>
      <c r="G16" s="12">
        <f>IF(C17&lt;90,(13*C12*C18/(C20*(C14+C15)*COS(C17/57.3)^1.3))^0.5,'Aux.'!A1)</f>
        <v>0</v>
      </c>
      <c r="H16" t="str">
        <f>IF(G16=0,'Aux.'!A2,'Aux.'!A3)</f>
        <v>Not Applicable</v>
      </c>
      <c r="I16"/>
      <c r="J16" t="s">
        <v>29</v>
      </c>
      <c r="K16" s="12">
        <f>IF(C17&lt;90,(13*C13*C18/(C20*(C14+C15)*COS(C17/57.3)^1.3))^0.5,'Aux.'!A1)</f>
        <v>0</v>
      </c>
      <c r="L16" t="str">
        <f>IF(K16=0,'Aux.'!A2,'Aux.'!A3)</f>
        <v>Not Applicable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5">
      <c r="A17"/>
      <c r="B17" t="s">
        <v>30</v>
      </c>
      <c r="C17" s="8">
        <v>105</v>
      </c>
      <c r="D17" t="s">
        <v>28</v>
      </c>
      <c r="E17"/>
      <c r="F17" s="9" t="s">
        <v>31</v>
      </c>
      <c r="G17" s="10">
        <f>IF(H17&lt;=0.5,0.5,IF(H17&gt;=1,1,H17))</f>
        <v>1</v>
      </c>
      <c r="H17" s="11">
        <f>(C17&gt;=90)*1+(C17&lt;90)*(G16/17)</f>
        <v>1</v>
      </c>
      <c r="I17"/>
      <c r="J17" s="9" t="s">
        <v>31</v>
      </c>
      <c r="K17" s="10">
        <f>IF(L17&lt;=0.5,0.5,IF(L17&gt;=1,1,L17))</f>
        <v>1</v>
      </c>
      <c r="L17" s="11">
        <f>(C17&gt;=90)*1+(C17&lt;90)*(K16/17)</f>
        <v>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5">
      <c r="A18"/>
      <c r="B18" t="s">
        <v>32</v>
      </c>
      <c r="C18" s="8">
        <v>0.4</v>
      </c>
      <c r="D18" t="s">
        <v>7</v>
      </c>
      <c r="E18"/>
      <c r="F18" s="9" t="s">
        <v>33</v>
      </c>
      <c r="G18" s="10">
        <f>IF(C17/90&gt;1.25,1.25,IF(C17/90&lt;0.5,0.5,C17/90))</f>
        <v>1.1666666666666667</v>
      </c>
      <c r="H18"/>
      <c r="I18"/>
      <c r="J18" s="9" t="s">
        <v>33</v>
      </c>
      <c r="K18" s="10">
        <f>IF(C17/90&gt;1.25,1.25,IF(C17/90&lt;0.5,0.5,C17/90))</f>
        <v>1.1666666666666667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">
      <c r="A19"/>
      <c r="B19" t="s">
        <v>34</v>
      </c>
      <c r="C19" s="8">
        <v>0.58</v>
      </c>
      <c r="D19" t="s">
        <v>7</v>
      </c>
      <c r="E19"/>
      <c r="F19" s="9" t="s">
        <v>35</v>
      </c>
      <c r="G19" s="13">
        <f>5*(C9="Y")</f>
        <v>0</v>
      </c>
      <c r="H19"/>
      <c r="I19"/>
      <c r="J19" s="9" t="s">
        <v>35</v>
      </c>
      <c r="K19" s="13">
        <f>5*(C9="Y")</f>
        <v>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>
      <c r="A20"/>
      <c r="B20" t="s">
        <v>36</v>
      </c>
      <c r="C20" s="8">
        <v>120.11</v>
      </c>
      <c r="D20" t="s">
        <v>37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">
      <c r="A21"/>
      <c r="B21" t="s">
        <v>38</v>
      </c>
      <c r="C21" s="8">
        <v>68.18</v>
      </c>
      <c r="D21" t="s">
        <v>39</v>
      </c>
      <c r="E21"/>
      <c r="F21" s="14" t="s">
        <v>40</v>
      </c>
      <c r="G21" s="15">
        <f>(7+2.25*G7)*(G9*G11*G13*G14*G15*G17*G18)^0.5+G19</f>
        <v>52.27360002101245</v>
      </c>
      <c r="H21"/>
      <c r="I21"/>
      <c r="J21" s="14" t="s">
        <v>40</v>
      </c>
      <c r="K21" s="15">
        <f>(7+2.25*K7)*(K9*K11*K13*K14*K15*K17*K18)^0.5+K19</f>
        <v>55.39827379092393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>
      <c r="A22"/>
      <c r="B22" t="s">
        <v>41</v>
      </c>
      <c r="C22" s="8">
        <v>75</v>
      </c>
      <c r="D22" t="s">
        <v>39</v>
      </c>
      <c r="E22"/>
      <c r="F22" s="16"/>
      <c r="G22" s="16"/>
      <c r="H22"/>
      <c r="I22"/>
      <c r="J22" s="16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">
      <c r="A23"/>
      <c r="B23"/>
      <c r="C23"/>
      <c r="D23"/>
      <c r="E23"/>
      <c r="F23" s="14" t="s">
        <v>42</v>
      </c>
      <c r="G23" s="17" t="str">
        <f>IF(G21&gt;32,"A",IF(G21&gt;23,"B",IF(G21&gt;14,"C",IF(G21&gt;5,"D"))))</f>
        <v>A</v>
      </c>
      <c r="H23"/>
      <c r="I23"/>
      <c r="J23" s="14" t="s">
        <v>42</v>
      </c>
      <c r="K23" s="17" t="str">
        <f>IF(K21&gt;32,"A",IF(K21&gt;23,"B",IF(K21&gt;14,"C",IF(K21&gt;5,"D"))))</f>
        <v>A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2:12" ht="14.25">
      <c r="B24"/>
      <c r="C24"/>
      <c r="D24"/>
      <c r="E24"/>
      <c r="F24" t="s">
        <v>43</v>
      </c>
      <c r="G24" s="6" t="str">
        <f>IF(G23="A","7 metres",IF(G23="B","4 metres",IF(G23="C","2 metres",IF(G23="D","0.5 metres","Ponds only!"))))</f>
        <v>7 metres</v>
      </c>
      <c r="H24"/>
      <c r="J24" t="s">
        <v>43</v>
      </c>
      <c r="K24" s="6" t="str">
        <f>IF(K23="A","7 metres",IF(K23="B","4 metres",IF(K23="C","2 metres",IF(K23="D","0.5 metres","Ponds only!"))))</f>
        <v>7 metres</v>
      </c>
      <c r="L24"/>
    </row>
    <row r="25" spans="2:11" ht="14.25">
      <c r="B25"/>
      <c r="C25"/>
      <c r="D25"/>
      <c r="E25"/>
      <c r="F25" t="s">
        <v>44</v>
      </c>
      <c r="G25" s="6" t="str">
        <f>IF(G23="A","Force 10",IF(G23="B","Force 8",IF(G23="C","Force 6",IF(G23="D","Force 4","Mirror calm"))))</f>
        <v>Force 10</v>
      </c>
      <c r="J25" t="s">
        <v>44</v>
      </c>
      <c r="K25" s="6" t="str">
        <f>IF(K23="A","Force 10",IF(K23="B","Force 8",IF(K23="C","Force 6",IF(K23="D","Force 4","Mirror calm"))))</f>
        <v>Force 10</v>
      </c>
    </row>
    <row r="26" spans="2:8" ht="14.25">
      <c r="B26"/>
      <c r="C26"/>
      <c r="D26"/>
      <c r="F26"/>
      <c r="G26"/>
      <c r="H26"/>
    </row>
    <row r="27" spans="2:4" ht="14.25">
      <c r="B27"/>
      <c r="C27"/>
      <c r="D27"/>
    </row>
    <row r="29" spans="2:8" ht="15">
      <c r="B29" t="s">
        <v>45</v>
      </c>
      <c r="C29" s="9">
        <f>C13/C12</f>
        <v>1.2182964374725114</v>
      </c>
      <c r="D29" s="18" t="s">
        <v>46</v>
      </c>
      <c r="E29" s="19">
        <v>1.15</v>
      </c>
      <c r="F29" t="str">
        <f>IF(C29&gt;E29,'Aux.'!A6,'Aux.'!A8)</f>
        <v>YES: We have to choose the lower STIX</v>
      </c>
      <c r="H29"/>
    </row>
    <row r="30" spans="6:8" ht="14.25">
      <c r="F30"/>
      <c r="H30"/>
    </row>
    <row r="31" spans="2:8" ht="14.25">
      <c r="B31"/>
      <c r="C31"/>
      <c r="F31" s="20" t="s">
        <v>47</v>
      </c>
      <c r="G31" s="20">
        <f>IF(K21&lt;G21,K21,G21)</f>
        <v>52.27360002101245</v>
      </c>
      <c r="H31"/>
    </row>
    <row r="32" spans="2:8" ht="14.25">
      <c r="B32"/>
      <c r="C32"/>
      <c r="F32" s="21"/>
      <c r="G32" s="21"/>
      <c r="H32"/>
    </row>
    <row r="33" spans="2:8" ht="14.25">
      <c r="B33"/>
      <c r="C33"/>
      <c r="F33" s="20" t="s">
        <v>48</v>
      </c>
      <c r="G33" s="22" t="str">
        <f>IF(G31=G21,G23,K23)</f>
        <v>A</v>
      </c>
      <c r="H33"/>
    </row>
    <row r="34" spans="2:8" ht="15">
      <c r="B34"/>
      <c r="C34"/>
      <c r="F34" s="23" t="s">
        <v>43</v>
      </c>
      <c r="G34" s="22" t="str">
        <f>IF(G31=G21,G24,K24)</f>
        <v>7 metres</v>
      </c>
      <c r="H34"/>
    </row>
    <row r="35" spans="2:8" ht="15">
      <c r="B35"/>
      <c r="C35"/>
      <c r="F35" s="23" t="s">
        <v>44</v>
      </c>
      <c r="G35" s="22" t="str">
        <f>IF(G31=G21,G25,K25)</f>
        <v>Force 10</v>
      </c>
      <c r="H35"/>
    </row>
    <row r="36" spans="2:8" ht="14.25">
      <c r="B36"/>
      <c r="C36"/>
      <c r="F36"/>
      <c r="G36"/>
      <c r="H36"/>
    </row>
    <row r="37" spans="2:8" ht="14.25">
      <c r="B37"/>
      <c r="C37"/>
      <c r="F37"/>
      <c r="G37"/>
      <c r="H37"/>
    </row>
    <row r="38" spans="6:8" ht="14.25">
      <c r="F38"/>
      <c r="G38"/>
      <c r="H38"/>
    </row>
    <row r="39" spans="6:8" ht="14.25">
      <c r="F39"/>
      <c r="G39"/>
      <c r="H39"/>
    </row>
    <row r="40" spans="6:8" ht="14.25">
      <c r="F40"/>
      <c r="G40"/>
      <c r="H40"/>
    </row>
    <row r="41" spans="6:8" ht="14.25">
      <c r="F41"/>
      <c r="G41"/>
      <c r="H41"/>
    </row>
    <row r="42" spans="6:8" ht="14.25">
      <c r="F42"/>
      <c r="G42"/>
      <c r="H42"/>
    </row>
    <row r="43" spans="6:8" ht="14.25">
      <c r="F43"/>
      <c r="G43"/>
      <c r="H43"/>
    </row>
    <row r="44" spans="6:8" ht="14.25">
      <c r="F44"/>
      <c r="G44"/>
      <c r="H44"/>
    </row>
    <row r="45" spans="6:8" ht="14.25">
      <c r="F45"/>
      <c r="G45"/>
      <c r="H45"/>
    </row>
    <row r="46" spans="6:8" ht="14.25">
      <c r="F46"/>
      <c r="G46"/>
      <c r="H46"/>
    </row>
    <row r="47" spans="6:8" ht="14.25">
      <c r="F47"/>
      <c r="G47"/>
      <c r="H47"/>
    </row>
    <row r="48" spans="6:8" ht="14.25">
      <c r="F48"/>
      <c r="G48"/>
      <c r="H48"/>
    </row>
    <row r="49" spans="6:8" ht="14.25">
      <c r="F49"/>
      <c r="G49"/>
      <c r="H4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4" sqref="A4"/>
    </sheetView>
  </sheetViews>
  <sheetFormatPr defaultColWidth="11.19921875" defaultRowHeight="14.25"/>
  <cols>
    <col min="1" max="16384" width="9" style="0" customWidth="1"/>
  </cols>
  <sheetData>
    <row r="1" ht="14.25">
      <c r="A1">
        <v>0</v>
      </c>
    </row>
    <row r="2" ht="14.25">
      <c r="A2" t="s">
        <v>52</v>
      </c>
    </row>
    <row r="3" ht="14.25">
      <c r="A3" t="s">
        <v>49</v>
      </c>
    </row>
    <row r="6" ht="14.25">
      <c r="A6" s="1" t="s">
        <v>50</v>
      </c>
    </row>
    <row r="8" ht="14.25">
      <c r="A8" s="1" t="s">
        <v>51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cols>
    <col min="1" max="16384" width="9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Baker</dc:creator>
  <cp:keywords/>
  <dc:description/>
  <cp:lastModifiedBy> CLIENTE</cp:lastModifiedBy>
  <cp:lastPrinted>2006-08-23T23:14:32Z</cp:lastPrinted>
  <dcterms:created xsi:type="dcterms:W3CDTF">2003-02-24T21:52:30Z</dcterms:created>
  <dcterms:modified xsi:type="dcterms:W3CDTF">2006-10-24T09:06:03Z</dcterms:modified>
  <cp:category/>
  <cp:version/>
  <cp:contentType/>
  <cp:contentStatus/>
  <cp:revision>1</cp:revision>
</cp:coreProperties>
</file>